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2827"/>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Network 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<sst xmlns="http://schemas.openxmlformats.org/spreadsheetml/2006/main" count="15434" uniqueCount="2771">
  <si>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</si>
  <si>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</si>
  <si>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</si>
  <si>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</si>
  <si>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</si>
  <si>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</si>
  <si>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</si>
  <si>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</si>
  <si>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</si>
  <si>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</si>
  <si>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</si>
  <si>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</si>
  <si>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</si>
  <si>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</si>
  <si>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</si>
  <si>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</si>
  <si>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</si>
  <si>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</si>
  <si>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</si>
  <si>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</si>
  <si>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</si>
  <si>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</si>
  <si>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</si>
  <si>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</si>
  <si>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</si>
  <si>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</si>
  <si>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</si>
  <si>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</si>
  <si>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</si>
  <si>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</si>
  <si>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</si>
  <si>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</si>
  <si>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</si>
  <si>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</si>
  <si>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</si>
  <si>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</si>
  <si>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</si>
  <si>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</si>
  <si>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</si>
  <si>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</si>
  <si>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</si>
  <si>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</si>
  <si>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</si>
  <si>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</si>
  <si>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</si>
  <si>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</si>
  <si>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</si>
  <si>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</si>
  <si>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</si>
  <si>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</si>
  <si>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</si>
  <si>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</si>
  <si>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</si>
  <si>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</si>
  <si>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</si>
  <si>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</si>
  <si>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</si>
  <si>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</si>
  <si>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</si>
  <si>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</si>
  <si>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</si>
  <si>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</si>
  <si>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</si>
  <si>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</si>
  <si>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</si>
  <si>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</si>
  <si>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</si>
  <si>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</si>
  <si>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</si>
  <si>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</si>
  <si>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</si>
  <si>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</si>
  <si>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</si>
  <si>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</si>
  <si>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</si>
  <si>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</si>
  <si>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</si>
  <si>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</si>
  <si>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</si>
  <si>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</si>
  <si>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</si>
  <si>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</si>
  <si>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</si>
  <si>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</si>
  <si>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</si>
  <si>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</si>
  <si>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</si>
  <si>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</si>
  <si>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</si>
  <si>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</si>
  <si>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</si>
  <si>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</si>
  <si>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</si>
  <si>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</si>
  <si>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</si>
  <si>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</si>
  <si>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</si>
  <si>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</si>
  <si>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</si>
  <si>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</si>
  <si>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</si>
  <si>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</si>
  <si>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</si>
  <si>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</si>
  <si>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</si>
  <si>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</si>
  <si>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</si>
  <si>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</si>
  <si>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</si>
  <si>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</si>
  <si>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</si>
  <si>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</si>
  <si>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</si>
  <si>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</si>
  <si>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</si>
  <si>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</si>
  <si>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</si>
  <si>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</si>
  <si>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</si>
  <si>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</si>
  <si>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</si>
  <si>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</si>
  <si>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</si>
  <si>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</si>
  <si>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</si>
  <si>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</si>
  <si>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</si>
  <si>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</si>
  <si>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</si>
  <si>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</si>
  <si>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</si>
  <si>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</si>
  <si>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</si>
  <si>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</si>
  <si>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</si>
  <si>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</si>
  <si>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</si>
  <si>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</si>
  <si>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</si>
  <si>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</si>
  <si>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</si>
  <si>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</si>
  <si>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</si>
  <si>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</si>
  <si>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</si>
  <si>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</si>
  <si>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</si>
  <si>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</si>
  <si>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</si>
  <si>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</si>
  <si>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</si>
  <si>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</si>
  <si>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</si>
  <si>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</si>
  <si>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</si>
  <si>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</si>
  <si>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</si>
  <si>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</si>
  <si>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</si>
  <si>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</si>
  <si>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</si>
  <si>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</si>
  <si>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</si>
  <si>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</si>
  <si>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</si>
  <si>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</si>
  <si>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</si>
  <si>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</si>
  <si>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</si>
  <si>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</si>
  <si>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</si>
  <si>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</si>
  <si>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</si>
  <si>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</si>
  <si>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</si>
  <si>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</si>
  <si>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</si>
  <si>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</si>
  <si>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</si>
  <si>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</si>
  <si>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</si>
  <si>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</si>
  <si>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</si>
  <si>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</si>
  <si>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</si>
  <si>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</si>
  <si>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</si>
  <si>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</si>
  <si>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</si>
  <si>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</si>
  <si>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19</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</si>
  <si>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</si>
  <si>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</si>
  <si>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t>
  </si>
  <si>
    <t>&gt;
        &lt;value&gt;D:\Dropbox\_NodeXL\NodeXL Addins&lt;/value&gt;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t>
  </si>
  <si>
    <t>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
  </si>
  <si>
    <t>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&lt;value&gt;Social Network Graph of Youtube Users visualized with NodeXL Pro (smrfoundation.org)&lt;/value&gt;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t>
  </si>
  <si>
    <t>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&lt;value&gt;CalculateSentiment░True▓TextColumnIsOnEdgeWorksheet░False▓TextColumnName░Tags▓CountByGroup░True▓SkipSingleTerms░True▓WordsToSkip░0 1 2 3 4 5 6 7 8 9 39 #39 a á à â å ä ã able about above abroad abst accordance according accordingly across act actually ad added adj adopted ae af affected affecting affects after afterwards ag again against ago ah ahead ai ain't aint al all allow allows almost alone along alongside already also although always am amid amidst among amongst amoungst amount amp amp an and announce another any anybody anyhow anymore anyone anything anyway anyways anywhere ao apart apparently appear appreciate appropriate approximately aq ar are area areas aren aren't arent arise around arpa as aside ask asked asking asks aspx associated at au auth available aw away awfully az b ba back backed backing backs backward backwards bb bd be became because become becomes becoming been before beforehand began begin beginning beginnings begins behind being beings believe below beside besides best better between beyond bf bg bh bi big bill billion biol bj bm bn bo both bottom br br brief briefly bs bt but buy bv bw by bz c c'mon c's ca call came can can't cannot cant caption case cases cause causes cc cd certain certainly cf cg ch changes channel ci ck cl clear clearly click cm cmon cn co com come comes computer con concerning consequently consider considering contain containing contains copy corresponding could could've couldn couldn't couldnt course cr cry cs cu currently cv cx cy cz d ð dare daren't darent date de dear definitely describe described despite detail did didn didn't didnt differ different differently directly dj dk dm do does doesn doesn't doesnt doing don don't done dont doubtful down downed downing downs downwards due during ðÿ ðÿš dz e é è each early ec ed edu ee effect eg eh eight eighty either eleven else elsewhere empty end ended ending ends enough entirely er es especially et et-al etc even evenly ever evermore every everybody everyone everything everywhere ex exactly example except f face faces fact facts fairly far farther felt few fewer ff fi fifteen fifth fifty fify fill find finds fire first five fix fj fk fm fo follow followed following follows for forever former formerly forth forty forward found four fr free from front full fully further furthered furthering furthermore furthers fx g ga gave gb gd ge general generally get gets getting gf gg gh gi give given gives giving gl gm gmt gn go goes going gone good goods got gotten gov gp gq gr great greater greatest greetings group grouped grouping groups gs gt gu gw gy h had hadn't hadnt half happens hardly has hasn hasn't hasnt have haven haven't havent having he he'd he'll he's hed hell hello help hence her here here's hereafter hereby herein heres hereupon hers herse” herself hes hi hid high higher highest him himse” himself his hither hk hm hn home homepage hopefully how how'd how'll how's howbeit however hr href href ht htm html html http http https hu hundred i ï i.e. i'd i'll i'm i've id ie if ignored ii il ill im immediate immediately importance important in inasmuch inc indeed index indicate indicated indicates information inner inside insofar instead int interest interested interesting interests into invention inward io iq ir is isn isn't isnt it it'd it'll it's itd itll its itse” itself ive j je jm jo join jp just k kanal ke keep keeps kept keys kg kh ki kind km kn knew know known knows kp kr kw ky kz l la large largely last lately later latest latter latterly lb lc least length less lest let let's lets li like liked likely likewise line little lk ll ll long longer longest look looking looks low lower lr ls lt ltd lu lv ly m ma made mainly make makes making man many may maybe mayn't maynt mc md me mean means meantime meanwhile member members men merely mg mh microsoft might might've mightn't mightnt mil mill million mine minus miss mk ml mm mn mo more moreover most mostly move mp mq mr mrs ms msie mt mu much mug must must've mustn't mustnt mv mw mx my myse myself mz n ñ  na name namely nay nc nd ne near nearly necessarily necessary need needed needing needn't neednt needs neither net netscape never neverf neverless nevertheless new newer newest next nf ng ni nine ninety nl no no-one nobody non none nonetheless noone nor normally nos not noted nothing notwithstanding novel now nowhere np nr nu null number numbers nz o ó ò ö obtain obtained obviously of off official offiziell offizielle often oh ok okay old older oldest om omitted on once one one's ones only onto open opened opening opens opposite or ord order ordered ordering orders org other others otherwise ought oughtn't oughtnt our ours ourselves out outside over overall owing own p pa page page pages pages part parted particular particularly parting parts past pe per perhaps pf pg ph pk pl place placed places please plus pm pmid pn point pointed pointing points poorly possible possibly post posts potentially pp pr predominantly present presented presenting presents presumably previously primarily probably problem problems promptly proud provided provides pt put puts pw py q qa que quickly quite quot quot qv r ran rather rd re readily really reasonably recent recently ref refs regarding regardless regards related relatively research reserved respectively resulted resulting results right ring ro room rooms round rt ru run rw s sa said same saw say saying says sb sc sd se sec second secondly seconds section see seeing seem seemed seeming seems seen sees self selves sensible sent serious seriously seven s</t>
  </si>
  <si>
    <t xml:space="preserve">eventy several sg sh shall shan't shant she she'd she'll she's shed shell shes should should've shouldn shouldn't shouldnt show showed showing shown showns shows si side sides significant significantly similar similarly since sincere site six sixty sj sk sl slightly sm small smaller smallest sn so some somebody someday somehow someone somethan something sometime sometimes somewhat somewhere soon sorry specifically specified specify specifying sr ß st state states still stop strongly su sub subscribe substantially successfully such sufficiently suggest sup sure sv sy system sz t t's take taken taking tc td tell ten tends test text tf tg th than thank thanks thanx that that'll that's that've thatll thats thatve the their theirs them themselves then thence there there'd there'll there're there's there've thereafter thereby thered therefore therein therell thereof therere theres thereto thereupon thereve these they they'd they'll they're they've theyd theyll theyre theyve thick thin thing things think thinks third thirty this thorough thoroughly those thou though thoughh thought thoughts thousand three throug through throughout thru thus til till tip tis tis tj tk tm tn to today together too took top toward towards tp tr tried tries trillion truly try trying ts tt turn turned turning turns tv tw twas twas twelve twenty twice two tz u ú ù ü ua ug uk um un under underneath undoing unfortunately unless unlike unlikely until unto up upon ups upwards url us use used useful usefully usefulness uses using usually uucp uy uz v va value various vc ve versus very vg vi via video viz vn vol vols vs vu w want wanted wanting wants was wasn wasn't wasnt watch way ways we we'd we'll we're we've web webpage website wed welcome well wells went were weren weren't werent weve wf what what'd what'll what's what've whatever whatll whats whatve when when'd when'll when's whence whenever where where'd where'll where's whereafter whereas whereby wherein wheres whereupon wherever whether which whichever while whilst whim whither who who'd who'll who's whod whoever whole wholl whom whomever whos whose why why'd why'll why's widely width will willing wish with within without won won't wonder wont words work worked working works world would would've wouldn wouldn't wouldnt ws www x y ye year years yes yet you you'd you'll you're you've youd youll young younger youngest your youre yours yourself yourselves youtu youtube youve yt yu z za zero zm zr▓SentimentList1Name░List1▓SentimentList2Name░List2▓SentimentList3Name░List3▓SentimentList1FriendlyName░Positive▓SentimentList2FriendlyName░Negative▓SentimentList3FriendlyName░(Add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t>
  </si>
  <si>
    <t>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t>
  </si>
  <si>
    <t>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t>
  </si>
  <si>
    <t>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t>
  </si>
  <si>
    <t>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t>
  </si>
  <si>
    <t>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t>
  </si>
  <si>
    <t>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t>
  </si>
  <si>
    <t>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t>
  </si>
  <si>
    <t>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t>
  </si>
  <si>
    <t xml:space="preserve">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t>
  </si>
  <si>
    <t xml:space="preserve">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t>
  </si>
  <si>
    <t>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zombie▓AddVertexContent░False▓AddWordList░False&lt;/value&gt;
      &lt;/setting&gt;
      &lt;setting name="TimeSeriesUserSettings" serializeAs="String"&gt;
        &lt;value&gt;TimeColumnName░Publishet At▓TimeSlice░Days▓UniqueEdges░False&lt;/value&gt;
      &lt;/setting&gt;
      &lt;setting name="NetworkTopItemsListUserSettings" serializeAs="Xml"&gt;
        &lt;value&gt;
          &lt;NetworkTopItemsListUserSettings xmlns:xsd="http://www.w3.org/2001/XMLSchema"
            xmlns:xsi="http://www.w3.org/2001/XMLSchema-instance"&gt;
            &lt;IsEdgeColumn&gt;false&lt;/IsEdgeColumn&gt;
            &lt;StatusColumnName&gt;Tags&lt;/StatusColumnName&gt;
            &lt;TopTweetersMentionedRepliedTo&gt;false&lt;/TopTweetersMentionedRepliedTo&gt;
            &lt;NetworkTopItemsUserSettingsToCalculate /&gt;
          &lt;/NetworkTopItemsListUserSettings&gt;
        &lt;/value&gt;
      &lt;/setting&gt;
      &lt;setting name="OverallMetricsUserSettings" serializeAs="String"&gt;
        &lt;value&gt;ColumnNameForEdgeType░Comment Type&lt;/value&gt;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&lt;value&gt;D:\NodeXL\_youtube&lt;/value&gt;
      &lt;/setting&gt;
    &lt;/AutomateTasksUserSettings&gt;
    &lt;AutoFillUserSettings3&gt;
      &lt;setting name="VertexLabelSourceColumnName" serializeAs="String"&gt;
        &lt;value&gt;Title&lt;/value&gt;
      &lt;/setting&gt;
      &lt;setting name="EdgeAlphaSourceColumnName" serializeAs="String"&gt;
        &lt;value&gt;Edge Weight&lt;/value&gt;
      &lt;/setting&gt;
      &lt;setting name="VertexRadiusSourceColumnName" serializeAs="String"&gt;
        &lt;value&gt;Views&lt;/value&gt;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&lt;value&gt;Title&lt;/value&gt;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20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t>
  </si>
  <si>
    <t>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80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Tags&lt;/value&gt;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&lt;value&gt;10&lt;/value&gt;
      &lt;/setting&gt;
      &lt;setting name="AutoSelect" serializeAs="String"&gt;
        &lt;value&gt;True&lt;/value&gt;
      &lt;/setting&gt;
      &lt;setting name="LabelUserSettings" serializeAs="String"&gt;
        &lt;value&gt;Microsoft Sans Serif, 24pt White BottomCenter 40 2147483647 Black True 410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t>
  </si>
  <si>
    <t>Autofill Workbook Results</t>
  </si>
  <si>
    <t>Graph History</t>
  </si>
  <si>
    <t>Relationship</t>
  </si>
  <si>
    <t>4Zcoz_c8dYc</t>
  </si>
  <si>
    <t>aX67cDwcETU</t>
  </si>
  <si>
    <t>Jd3XyhLUbX0</t>
  </si>
  <si>
    <t>0ugy24IQLDc</t>
  </si>
  <si>
    <t>wM0KxnutlN0</t>
  </si>
  <si>
    <t>T_YjHa8rL9Y</t>
  </si>
  <si>
    <t>1udg15TW-KA</t>
  </si>
  <si>
    <t>Nqq8TT0KUXU</t>
  </si>
  <si>
    <t>hGrp5zsqi60</t>
  </si>
  <si>
    <t>q_DAkPMpTuw</t>
  </si>
  <si>
    <t>_4X3SsPoGYs</t>
  </si>
  <si>
    <t>G1RvjRO3D7U</t>
  </si>
  <si>
    <t>IOXLTa7fVWs</t>
  </si>
  <si>
    <t>NIWnl5zLBIM</t>
  </si>
  <si>
    <t>mbLMnxhDgGk</t>
  </si>
  <si>
    <t>vquaknWJVvA</t>
  </si>
  <si>
    <t>q3C2TiR7Nwk</t>
  </si>
  <si>
    <t>g7eABaXrSMM</t>
  </si>
  <si>
    <t>rD-ywwSYqrU</t>
  </si>
  <si>
    <t>h_0F69H8ngM</t>
  </si>
  <si>
    <t>YSbwguKkuD8</t>
  </si>
  <si>
    <t>Wrmk5osNCOg</t>
  </si>
  <si>
    <t>fG-td1DwZMw</t>
  </si>
  <si>
    <t>mgyCniF9yBw</t>
  </si>
  <si>
    <t>cIk9b2gcUqY</t>
  </si>
  <si>
    <t>SNa93H_0-58</t>
  </si>
  <si>
    <t>FxcXhYf_OpU</t>
  </si>
  <si>
    <t>QIUVG924LBs</t>
  </si>
  <si>
    <t>2PHJirJod60</t>
  </si>
  <si>
    <t>ICc_77oBOFQ</t>
  </si>
  <si>
    <t>GBKu3_8Rkcw</t>
  </si>
  <si>
    <t>LWK0AoOvvDc</t>
  </si>
  <si>
    <t>1b0s_u086iY</t>
  </si>
  <si>
    <t>WQdLDMLrYIA</t>
  </si>
  <si>
    <t>-dYWZMx-Lfs</t>
  </si>
  <si>
    <t>S1l6BchEoZM</t>
  </si>
  <si>
    <t>lZDzkvJqqfY</t>
  </si>
  <si>
    <t>i1Bm6cmY6Ro</t>
  </si>
  <si>
    <t>KzKvIYwqQkE</t>
  </si>
  <si>
    <t>rsMQdEuS2mI</t>
  </si>
  <si>
    <t>UiJf7YBOhAc</t>
  </si>
  <si>
    <t>BtN-goy9VOY</t>
  </si>
  <si>
    <t>U8r3oTVMtQ0</t>
  </si>
  <si>
    <t>qsp6PikjDOw</t>
  </si>
  <si>
    <t>HSRNPqNnF1o</t>
  </si>
  <si>
    <t>gFTNagGYppQ</t>
  </si>
  <si>
    <t>-LKVUarhtvE</t>
  </si>
  <si>
    <t>RusMz-PbB9Y</t>
  </si>
  <si>
    <t>EQ-ATT_Cd6M</t>
  </si>
  <si>
    <t>6hu-X-GHyXo</t>
  </si>
  <si>
    <t>gMrn1vJuQaw</t>
  </si>
  <si>
    <t>rReOtmupF3g</t>
  </si>
  <si>
    <t>2qdd7kirwIk</t>
  </si>
  <si>
    <t>VSQnOS7t4Gg</t>
  </si>
  <si>
    <t>8FMChea-tw8</t>
  </si>
  <si>
    <t>Ib7PDYYXUkc</t>
  </si>
  <si>
    <t>rcaUmNrtT4g</t>
  </si>
  <si>
    <t>A32GwtJMxeI</t>
  </si>
  <si>
    <t>HwGgmUly3lU</t>
  </si>
  <si>
    <t>EVRLZ_mEons</t>
  </si>
  <si>
    <t>pXZSVXNmS7Y</t>
  </si>
  <si>
    <t>oRNh_MqZjtQ</t>
  </si>
  <si>
    <t>Rt0x1fK11HA</t>
  </si>
  <si>
    <t>6_AiyQ8FpNo</t>
  </si>
  <si>
    <t>xs2k3FlfTo4</t>
  </si>
  <si>
    <t>XcFu6X_Wj3M</t>
  </si>
  <si>
    <t>fIIuSMd1PXI</t>
  </si>
  <si>
    <t>ZdSr7QHt_p4</t>
  </si>
  <si>
    <t>-cCjpxV1U-A</t>
  </si>
  <si>
    <t>LvBlzDz9ttM</t>
  </si>
  <si>
    <t>l_tf0oBubOE</t>
  </si>
  <si>
    <t>vNAi6lRRdtk</t>
  </si>
  <si>
    <t>li_wbkIj6-Q</t>
  </si>
  <si>
    <t>4J1AqK0ayTE</t>
  </si>
  <si>
    <t>7tziw5i3vy8</t>
  </si>
  <si>
    <t>taAHtUDo18Q</t>
  </si>
  <si>
    <t>TLpbfOJ4bJU</t>
  </si>
  <si>
    <t>jMLGyL5neik</t>
  </si>
  <si>
    <t>Z2UvQS87pqE</t>
  </si>
  <si>
    <t>DuBFsNmVawc</t>
  </si>
  <si>
    <t>FhxaNRTaA3g</t>
  </si>
  <si>
    <t>NvqKZHpKs-g</t>
  </si>
  <si>
    <t>EwwjJkZmedk</t>
  </si>
  <si>
    <t>eQJteHRyclI</t>
  </si>
  <si>
    <t>fndcCyYzXKg</t>
  </si>
  <si>
    <t>mL1EWOtql5M</t>
  </si>
  <si>
    <t>VmT6Hc9aMRg</t>
  </si>
  <si>
    <t>foXMXCAgKq4</t>
  </si>
  <si>
    <t>rRMkEDwJxbU</t>
  </si>
  <si>
    <t>qb-D5tG3Vdw</t>
  </si>
  <si>
    <t>pjVnFWHomtg</t>
  </si>
  <si>
    <t>zezoO6xp2uk</t>
  </si>
  <si>
    <t>WvCld2vKug8</t>
  </si>
  <si>
    <t>3NF3y1ouJ64</t>
  </si>
  <si>
    <t>2DUiBlj5rsQ</t>
  </si>
  <si>
    <t>DdIIwNyB1AA</t>
  </si>
  <si>
    <t>WaoSPQ4MuM8</t>
  </si>
  <si>
    <t>cRJnEm5s4k8</t>
  </si>
  <si>
    <t>-YmOnJim5wU</t>
  </si>
  <si>
    <t>4-iCCaBSNyg</t>
  </si>
  <si>
    <t>QwQ6cc7Qoxk</t>
  </si>
  <si>
    <t>VFyKkopIbNY</t>
  </si>
  <si>
    <t>KHhZ9L3xLiY</t>
  </si>
  <si>
    <t>o5w7FiDJe1g</t>
  </si>
  <si>
    <t>exwROZfgBeM</t>
  </si>
  <si>
    <t>2Z-KC_mb_8w</t>
  </si>
  <si>
    <t>uQ_MTxZ-pVE</t>
  </si>
  <si>
    <t>7l74Rj5-ilE</t>
  </si>
  <si>
    <t>0XabBM2qhuQ</t>
  </si>
  <si>
    <t>3OC4CIfZ_1A</t>
  </si>
  <si>
    <t>ma9SIElODdg</t>
  </si>
  <si>
    <t>sA-O9uRrjQU</t>
  </si>
  <si>
    <t>_KSLCF9DcWY</t>
  </si>
  <si>
    <t>CfJIVZ6eui0</t>
  </si>
  <si>
    <t>kzZFDGvQQ4E</t>
  </si>
  <si>
    <t>7_HxdCHqFiU</t>
  </si>
  <si>
    <t>v_bfQoxexr8</t>
  </si>
  <si>
    <t>AFA8u_8bx_I</t>
  </si>
  <si>
    <t>iNaBuDty428</t>
  </si>
  <si>
    <t>EYLAfsJLPQA</t>
  </si>
  <si>
    <t>J_y_i8tvkb4</t>
  </si>
  <si>
    <t>E2y5v6vJCso</t>
  </si>
  <si>
    <t>XHoAe-3qUh4</t>
  </si>
  <si>
    <t>uTLV1tWXmzo</t>
  </si>
  <si>
    <t>K4SQ-NOV-iU</t>
  </si>
  <si>
    <t>dY1XMcPG9QA</t>
  </si>
  <si>
    <t>9Em0FSsI_VU</t>
  </si>
  <si>
    <t>FYQz4QvYEXA</t>
  </si>
  <si>
    <t>GyEq9zENX9I</t>
  </si>
  <si>
    <t>AfOa3cvwyPg</t>
  </si>
  <si>
    <t>GLJRtTmBq80</t>
  </si>
  <si>
    <t>_fIMkigtnk4</t>
  </si>
  <si>
    <t>Y13-HG5cIMI</t>
  </si>
  <si>
    <t>Iy8Bt_V971o</t>
  </si>
  <si>
    <t>mO_ZXI5QAto</t>
  </si>
  <si>
    <t>rz6p7YynVZI</t>
  </si>
  <si>
    <t>bCYAXyssH9M</t>
  </si>
  <si>
    <t>9Auq9mYxFEE</t>
  </si>
  <si>
    <t>6X8CWynYhHg</t>
  </si>
  <si>
    <t>nuxxZVWTFk0</t>
  </si>
  <si>
    <t>DNtF8NLUkPA</t>
  </si>
  <si>
    <t>Xt_SqI1RQig</t>
  </si>
  <si>
    <t>2uP7VUwJ05E</t>
  </si>
  <si>
    <t>A8zT1-U2Zlo</t>
  </si>
  <si>
    <t>GtwCa9btrho</t>
  </si>
  <si>
    <t>74FAukRj2so</t>
  </si>
  <si>
    <t>_ugkWtoZLNE</t>
  </si>
  <si>
    <t>IWvxUdnf8-Q</t>
  </si>
  <si>
    <t>3O_LoYpSFnQ</t>
  </si>
  <si>
    <t>YpsNKrqNCr8</t>
  </si>
  <si>
    <t>PRSaBHihq_I</t>
  </si>
  <si>
    <t>c14JEeaMQ-g</t>
  </si>
  <si>
    <t>XbHOEYIhowY</t>
  </si>
  <si>
    <t>n6QwnzbRUyA</t>
  </si>
  <si>
    <t>MKNavonhXyk</t>
  </si>
  <si>
    <t>PuFRygzeUKY</t>
  </si>
  <si>
    <t>wQ-aIHTvuvk</t>
  </si>
  <si>
    <t>Eh8BOSu5JVw</t>
  </si>
  <si>
    <t>iOFLuYm1pYM</t>
  </si>
  <si>
    <t>QXKSVWnyOSM</t>
  </si>
  <si>
    <t>M9P9DFxk5k8</t>
  </si>
  <si>
    <t>WP42rnBsQpY</t>
  </si>
  <si>
    <t>z8IfA9CAT-I</t>
  </si>
  <si>
    <t>i5TqWNtycIo</t>
  </si>
  <si>
    <t>gerQpTFIndI</t>
  </si>
  <si>
    <t>nC3DIkP7F74</t>
  </si>
  <si>
    <t>mIoy7YJ8PZY</t>
  </si>
  <si>
    <t>1K4Dhp1chAI</t>
  </si>
  <si>
    <t>Ja8IoXFaJik</t>
  </si>
  <si>
    <t>HEGC2MjaWAM</t>
  </si>
  <si>
    <t>bW1XstE6tio</t>
  </si>
  <si>
    <t>m8wcAXVhwpY</t>
  </si>
  <si>
    <t>WfNCSxZ-8uU</t>
  </si>
  <si>
    <t>o5bwStVXQbI</t>
  </si>
  <si>
    <t>uV5g4kE6NvM</t>
  </si>
  <si>
    <t>lOBhHs_1n_I</t>
  </si>
  <si>
    <t>arZtsOWni0s</t>
  </si>
  <si>
    <t>Kr4fTAtQUh8</t>
  </si>
  <si>
    <t>au3Zzf33vXw</t>
  </si>
  <si>
    <t>HSQvwkVLPDM</t>
  </si>
  <si>
    <t>OFPwDe22CoY</t>
  </si>
  <si>
    <t>BJGgHGl-NUg</t>
  </si>
  <si>
    <t>DX7ZXbEM3FE</t>
  </si>
  <si>
    <t>6ja8QEp0SkA</t>
  </si>
  <si>
    <t>74WQgNa3OsQ</t>
  </si>
  <si>
    <t>BvArUcf-1V4</t>
  </si>
  <si>
    <t>idhKP4ZhjGs</t>
  </si>
  <si>
    <t>XIMd2tMOD5g</t>
  </si>
  <si>
    <t>G0rSXLZnYM4</t>
  </si>
  <si>
    <t>4GCO9k1FKaE</t>
  </si>
  <si>
    <t>syGME_XtHkg</t>
  </si>
  <si>
    <t>yRGcdGxklvg</t>
  </si>
  <si>
    <t>ayos8E96X5U</t>
  </si>
  <si>
    <t>KFOcyKiz9nk</t>
  </si>
  <si>
    <t>nWbbK9poArQ</t>
  </si>
  <si>
    <t>BusdooE10vQ</t>
  </si>
  <si>
    <t>7Ro0dMV5QsY</t>
  </si>
  <si>
    <t>FkMsl9ukjmk</t>
  </si>
  <si>
    <t>Qi0edf_nJDo</t>
  </si>
  <si>
    <t>OwbD5Bn96TI</t>
  </si>
  <si>
    <t>zeOatw-yjqw</t>
  </si>
  <si>
    <t>lK_b-aMLa9g</t>
  </si>
  <si>
    <t>Ix6vtM4gP8g</t>
  </si>
  <si>
    <t>GaQXzNQbH0U</t>
  </si>
  <si>
    <t>ugFyXkPw6Zw</t>
  </si>
  <si>
    <t>pcrnIObnQcs</t>
  </si>
  <si>
    <t>jrwSo9ZDZEg</t>
  </si>
  <si>
    <t>iCFEsRk_Uxc</t>
  </si>
  <si>
    <t>BBT4uR-KGDA</t>
  </si>
  <si>
    <t>RGlUs2jHsUk</t>
  </si>
  <si>
    <t>Cu0vTtlV6Fk</t>
  </si>
  <si>
    <t>KS7hmzhybg8</t>
  </si>
  <si>
    <t>04FkoxyrMII</t>
  </si>
  <si>
    <t>59g5jQRoqHo</t>
  </si>
  <si>
    <t>7c7JtyacxBU</t>
  </si>
  <si>
    <t>0G9obcyweoc</t>
  </si>
  <si>
    <t>ng48epMYjq4</t>
  </si>
  <si>
    <t>rsB8LnLq-v0</t>
  </si>
  <si>
    <t>C9PImeyoodI</t>
  </si>
  <si>
    <t>IZK-HqBW5Eg</t>
  </si>
  <si>
    <t>0KaiTDxAPy0</t>
  </si>
  <si>
    <t>DNunrPYQ51k</t>
  </si>
  <si>
    <t>CxS7gg8go70</t>
  </si>
  <si>
    <t>bgu1u2sCBN8</t>
  </si>
  <si>
    <t>UcktuOQzd9g</t>
  </si>
  <si>
    <t>z_nDDebiefE</t>
  </si>
  <si>
    <t>xXjsn9L-SGI</t>
  </si>
  <si>
    <t>OAbP-V6fEVc</t>
  </si>
  <si>
    <t>tuoM3QGSUhM</t>
  </si>
  <si>
    <t>vA2gdq1iXFs</t>
  </si>
  <si>
    <t>lf6yBeXmzCo</t>
  </si>
  <si>
    <t>kSjXOebB7eI</t>
  </si>
  <si>
    <t>UxB6gLeC3xc</t>
  </si>
  <si>
    <t>WQptarOLSBU</t>
  </si>
  <si>
    <t>bazFR9T9NBA</t>
  </si>
  <si>
    <t>CZErcUpgPkM</t>
  </si>
  <si>
    <t>7ViZRj4V1VM</t>
  </si>
  <si>
    <t>MlnssseIo1k</t>
  </si>
  <si>
    <t>UARwC1ypSNo</t>
  </si>
  <si>
    <t>xXI0UEmCsEw</t>
  </si>
  <si>
    <t>qyMFsLFAE5o</t>
  </si>
  <si>
    <t>XcMrHpLd9C4</t>
  </si>
  <si>
    <t>mXQkDYpYxnY</t>
  </si>
  <si>
    <t>jSdv-OJ790c</t>
  </si>
  <si>
    <t>geCivuh_U2g</t>
  </si>
  <si>
    <t>4lQ6_0kVRkc</t>
  </si>
  <si>
    <t>aIs1lkbEh_0</t>
  </si>
  <si>
    <t>x43rg_ozbCI</t>
  </si>
  <si>
    <t>s9CRLFKelKE</t>
  </si>
  <si>
    <t>_QJEZbQxCLw</t>
  </si>
  <si>
    <t>bUhZmO6P0NU</t>
  </si>
  <si>
    <t>jH7ZTcT3ev4</t>
  </si>
  <si>
    <t>eXqOw8TB4Ls</t>
  </si>
  <si>
    <t>JP3416CgU0Q</t>
  </si>
  <si>
    <t>UrnmBLB-UX4</t>
  </si>
  <si>
    <t>JowNX7QsEkg</t>
  </si>
  <si>
    <t>16EL-ZexH5A</t>
  </si>
  <si>
    <t>3wQx-BjmfJk</t>
  </si>
  <si>
    <t>P_s4ixua1qs</t>
  </si>
  <si>
    <t>g3r4999Z4a8</t>
  </si>
  <si>
    <t>MXXGGijcLfw</t>
  </si>
  <si>
    <t>o_FwqdP5ZTc</t>
  </si>
  <si>
    <t>BJDMFH33yyI</t>
  </si>
  <si>
    <t>kPBpn0mvFOI</t>
  </si>
  <si>
    <t>sjfRyfARJMM</t>
  </si>
  <si>
    <t>yjnpK7bTq5k</t>
  </si>
  <si>
    <t>t_G2XmK9Oq0</t>
  </si>
  <si>
    <t>P2O8sM7BvwQ</t>
  </si>
  <si>
    <t>6FQtDyNEeNg</t>
  </si>
  <si>
    <t>ZfyI5qL_A0c</t>
  </si>
  <si>
    <t>lGh10aRPtbw</t>
  </si>
  <si>
    <t>paU7PmJh7jE</t>
  </si>
  <si>
    <t>PCvnMkVm0sQ</t>
  </si>
  <si>
    <t>_hOGMmI5FpA</t>
  </si>
  <si>
    <t>lGBNawUcz_4</t>
  </si>
  <si>
    <t>bXFGHsvyqJ4</t>
  </si>
  <si>
    <t>FWUdr9D2gX0</t>
  </si>
  <si>
    <t>aHI2PSZxHYQ</t>
  </si>
  <si>
    <t>u0UcUD2M910</t>
  </si>
  <si>
    <t>sEbcs37aaI0</t>
  </si>
  <si>
    <t>Recommended Video</t>
  </si>
  <si>
    <t>Title</t>
  </si>
  <si>
    <t>Description</t>
  </si>
  <si>
    <t>Tags</t>
  </si>
  <si>
    <t>Author</t>
  </si>
  <si>
    <t>Created Date (UTC)</t>
  </si>
  <si>
    <t>Views</t>
  </si>
  <si>
    <t>Comments</t>
  </si>
  <si>
    <t>Likes Count</t>
  </si>
  <si>
    <t>Dislikes Count</t>
  </si>
  <si>
    <t>Custom Menu Item Text</t>
  </si>
  <si>
    <t>Custom Menu Item Action</t>
  </si>
  <si>
    <t>The Truth About Mortality Rates | COVID-19 Facts from the Frontline</t>
  </si>
  <si>
    <t>Media briefing on COVID-19</t>
  </si>
  <si>
    <t>A Deep Look Into Bill Gates Portfolio</t>
  </si>
  <si>
    <t>GVS2020  | Global Vaccine Summit (full event)</t>
  </si>
  <si>
    <t>Live from WHO Headquarters - COVID-19 daily press briefing  05 June 2020</t>
  </si>
  <si>
    <t>Gavi@20 - Jacques-François Martin (version française)</t>
  </si>
  <si>
    <t>What is an emergency vaccine stockpile and how can they prevent pandemics?</t>
  </si>
  <si>
    <t>Chinese Premier: China to donate 20 million U.S. dollar to Gavi vaccine alliance</t>
  </si>
  <si>
    <t>Interview with Bill Gates</t>
  </si>
  <si>
    <t>PM Modi Attends Global Vaccine Summit 2020 Hosted By UK</t>
  </si>
  <si>
    <t>WION Dispatch: UK to chair global vaccine summit | 50 state heads to attend the summit | COVID-19</t>
  </si>
  <si>
    <t>Online Symposium: Nutritional Management of Pediatric Crohn's disease</t>
  </si>
  <si>
    <t>Gavi, the Vaccine Alliance corporate video</t>
  </si>
  <si>
    <t>Efforts to find coronavirus (COVID-19) vaccine about to take major step forward</t>
  </si>
  <si>
    <t>Bill Gates!!!!! Do Not Take Any Vaccine------Farrakhan Warned Africans</t>
  </si>
  <si>
    <t>World’s Leading Vaccine Expert Fact-Checks COVID-19 Vaccine Conspiracy｜STAY CURIOUS #22</t>
  </si>
  <si>
    <t>Coronavirus Pandemic Update 79: COVID-19 Vaccines to Keep an Eye On - mRNA, Antigen, Others</t>
  </si>
  <si>
    <t>Global Vaccine Summit 2020</t>
  </si>
  <si>
    <t>COVID-19 vaccine could start human trials as early as August</t>
  </si>
  <si>
    <t>The Vaccine to End the Pandemic?</t>
  </si>
  <si>
    <t>China's progress in researching COVID-19 vaccine</t>
  </si>
  <si>
    <t>US sees 3rd highest day in new COVID-19 cases l ABC News</t>
  </si>
  <si>
    <t>What Doctors Are Learning From Autopsy Findings of Coronavirus (COVID-19) Patients</t>
  </si>
  <si>
    <t>Antibody study suggests when Covid-19 came to Utah and how many have been infected</t>
  </si>
  <si>
    <t>Operation Warp Speed for a COVID-19 vaccine</t>
  </si>
  <si>
    <t>The Coronavirus Explained &amp; What You Should Do</t>
  </si>
  <si>
    <t>Recognizing Day to Day Signs and Symptoms of Coronavirus</t>
  </si>
  <si>
    <t>Exclusive: Chinese scientists '99% confident' their coronavirus vaccine will work</t>
  </si>
  <si>
    <t>COVID-19 inactivated vaccine annual mass production could exceed 100 million doses</t>
  </si>
  <si>
    <t>Watch NBC News NOW Live - June  26</t>
  </si>
  <si>
    <t>How soap kills the coronavirus</t>
  </si>
  <si>
    <t>Coronavirus vaccine update: How far along is the research? | COVID-19 Special</t>
  </si>
  <si>
    <t>Why We Might Not Need A Vaccine for COVID-19 | This Morning</t>
  </si>
  <si>
    <t>CSU Researchers Pursuing Coronavirus Vaccine That Uses An Existing Platform To Inactivate Pathogens</t>
  </si>
  <si>
    <t>How and When Will We Get A Coronavirus Vaccine?</t>
  </si>
  <si>
    <t>Russian Covid-19 Drug Clinically Proven to Work, RDIF CEO Says</t>
  </si>
  <si>
    <t>How deadly is Covid-19?</t>
  </si>
  <si>
    <t>The Search For A Covid-19 Vaccine | Race Against Pandemic | Full Episode</t>
  </si>
  <si>
    <t>Can a genetically modified BCG vaccine protect us from coronavirus? | COVID-19 Special</t>
  </si>
  <si>
    <t>May Day Rally 2020 (Chinese)</t>
  </si>
  <si>
    <t>PM Lee speaks on "overcoming the crisis of a generation" | Post-Covid-19 Singapore</t>
  </si>
  <si>
    <t>Interview at the Economic Club of Washington, D.C.</t>
  </si>
  <si>
    <t>It's Time to Take our Singapore Jobs Back! Lim Tean's Budget Response</t>
  </si>
  <si>
    <t>Inauguration of the 8th President of Singapore</t>
  </si>
  <si>
    <t>PM Lee Hsien Loong's video address to World Health Organization</t>
  </si>
  <si>
    <t>Singapore ramping up vaccine manufacturing capacity: PM Lee</t>
  </si>
  <si>
    <t>A Conversation with Lee Hsien Loong, Prime Minister of Singapore | Davos 2020</t>
  </si>
  <si>
    <t>GVS2020–43 | HE Lee Hsien Loong, Prime Minister of Singapore</t>
  </si>
  <si>
    <t>PM Lee Hsien Loong’s National Broadcast on 7 June 2020 (Chinese)</t>
  </si>
  <si>
    <t>Lee Hsien Loong meets Donald Trump in New York</t>
  </si>
  <si>
    <t>Q2: On the Hong Kong protests (Forbes Global CEO Conference 2019)</t>
  </si>
  <si>
    <t>PM Lee Hsien Loong thanking foreign workers for their contributions</t>
  </si>
  <si>
    <t>NTU Remembers Mr Lee Kuan Yew, Founding Prime Minister of Singapore</t>
  </si>
  <si>
    <t>PM Lee Hsien Loong’s National Broadcast on 7 June 2020</t>
  </si>
  <si>
    <t>Lee Kuan Yew speaking at INSEAD in 2007 on leadership and global politics</t>
  </si>
  <si>
    <t>新加坡会出现类似香港与台湾的反政府活动吗？</t>
  </si>
  <si>
    <t>Prime Minister Lee Hsien Loong at the Bloomberg New Economy Forum</t>
  </si>
  <si>
    <t>How important is the immune system in protecting against Covid-19? | COVID-19 Special</t>
  </si>
  <si>
    <t>Why are outbreaks of infectious diseases on the rise? | COVID-19 SPECIAL</t>
  </si>
  <si>
    <t>Covid-19: what’s really going on in Russia? | The Economist</t>
  </si>
  <si>
    <t>USA vs China: The new cold war on the horizon | DW Analysis</t>
  </si>
  <si>
    <t>Better brain health | DW Documentary</t>
  </si>
  <si>
    <t>Aerosols: Key to control the coronavirus spread? | COVID-19 Special</t>
  </si>
  <si>
    <t>What are the COVID-19 long-term consequences? | COVID-19 Special</t>
  </si>
  <si>
    <t>Can artificial UV light help putting an end to the coronavirus pandemic? | COVID-19 Special</t>
  </si>
  <si>
    <t>How likely are coronavirus transmissions during flights? | COVID-19 Special</t>
  </si>
  <si>
    <t>DW News Livestream | Latest news and breaking stories</t>
  </si>
  <si>
    <t>Moderna Moving To Phase 3 Of Trial For Potential Coronavirus Vaccine</t>
  </si>
  <si>
    <t>The 1918 Pandemic Lasted 3 Years, Only One Way to End COVID-19 Earlier</t>
  </si>
  <si>
    <t>Injection of Hope: The hunt for a COVID-19 vaccine | Four Corners</t>
  </si>
  <si>
    <t>Trapped in the volcano: How the cruise of a lifetime turned into a deadly nightmare | Four Corners</t>
  </si>
  <si>
    <t>Little boy lost in market embarks on journey to find family | 60 Minutes Australia</t>
  </si>
  <si>
    <t>The rise and fall of the Leyland Brothers | Australian Story (2015)</t>
  </si>
  <si>
    <t>Rising threat from the seas | DW Documentary</t>
  </si>
  <si>
    <t>The Science Behind the Coronavirus, Series II</t>
  </si>
  <si>
    <t>The Promise and Peril of Fast-Tracking the Coronavirus Vaccine | WSJ</t>
  </si>
  <si>
    <t>The Cost of Coronavirus | Four Corners</t>
  </si>
  <si>
    <t>How Is Indonesia Battling Covid-19? | Insight | Full Episode</t>
  </si>
  <si>
    <t>Opioids, Inc. (full film) | FRONTLINE</t>
  </si>
  <si>
    <t>Is China taking over the South Pacific? | 60 Minutes Australia</t>
  </si>
  <si>
    <t>Coronavirus Vaccine Development</t>
  </si>
  <si>
    <t>Vaccine Development Update</t>
  </si>
  <si>
    <t>Coronavirus: UK to produce Oxford-AstraZeneca’s Covid-19 vaccine</t>
  </si>
  <si>
    <t>Coronavirus medical update: How to treat Covid-19? | COVID-19 Special</t>
  </si>
  <si>
    <t>Australian perspective of a pandemic: 1919 Spanish flu vs COVID-19 | Australian Story</t>
  </si>
  <si>
    <t>Outbreak Onboard: How fear and disease spread on the Ruby Princess | Four Corners</t>
  </si>
  <si>
    <t>Doctor Explains How Fast a Covid-19 Vaccine Could Be Created | Cause + Control | WIRED</t>
  </si>
  <si>
    <t>Scientist says a coronavirus vaccine in just 12 months is 'fake news' | 60 Minutes Australia</t>
  </si>
  <si>
    <t>Dr. Fauci talks coronavirus vaccine, reopening the country, and more</t>
  </si>
  <si>
    <t>Biden Leads Trump In Six Battleground States The President Carried In 2016 | Morning Joe | MSNBC</t>
  </si>
  <si>
    <t>Coronavirus Pandemic Update 81: New Data on Hydroxychloroquine Side Effects &amp; Prevention of COVID-19</t>
  </si>
  <si>
    <t>Unemployment Claims Rise To Nearly 50 Million Amid Coronavirus Pandemic | NBC News NOW</t>
  </si>
  <si>
    <t>Update on a Vaccine for COVID-19</t>
  </si>
  <si>
    <t>3 Researchers Break Down COVID-19 Vaccines They're Developing (3 Types) | Cause + Control | WIRED</t>
  </si>
  <si>
    <t>When will we get a coronavirus vaccine? | WIRED Explains</t>
  </si>
  <si>
    <t>Can we get a vaccine for COVID-19 by next year?</t>
  </si>
  <si>
    <t>Gravitas: Is China blocking a Coronavirus vaccine?</t>
  </si>
  <si>
    <t>Vaccine volunteer on his second injection</t>
  </si>
  <si>
    <t>Jon Stewart Talks “Irresistible”, Confederate Statues &amp; COVID-19 | The Daily Social Distancing Show</t>
  </si>
  <si>
    <t>Dr. Anthony Fauci: Virus cases plateauing, coming down</t>
  </si>
  <si>
    <t>Albright: Trump The Most Un-American, Undemocratic, President In U.S. History | Morning Joe | MSNBC</t>
  </si>
  <si>
    <t>Dr. Gupta: I can't believe we're in the position we're in</t>
  </si>
  <si>
    <t>Persistent Covid-19 spread is likely until we have vaccine: Former FDA Commissioner</t>
  </si>
  <si>
    <t>Dr. Gupta: We Aren't Flattening The Curve; The Curve Is Re-Expanding | Morning Joe | MSNBC</t>
  </si>
  <si>
    <t>Trump Pretends Coronavirus Doesn’t Exist: A Closer Look</t>
  </si>
  <si>
    <t>U.S. Hits All-Time High in Coronavirus Cases | The Daily Social Distancing Show</t>
  </si>
  <si>
    <t>Anthony Fauci: Rise in Covid-19 hospitalizations concerning</t>
  </si>
  <si>
    <t>Coronavirus vaccine: how will it work and will we definitely get one?</t>
  </si>
  <si>
    <t>Developing a Vaccine for COVID-19</t>
  </si>
  <si>
    <t>Some young people with COVID-19 develop mystery illness that can lead to heart attacks | 7.30</t>
  </si>
  <si>
    <t>How long the Coronavirus pandemic will last</t>
  </si>
  <si>
    <t>Del Bigtree The Coronavirus Vaccine Agenda - London Real</t>
  </si>
  <si>
    <t>Moderna to begin final vaccine testing stage in July</t>
  </si>
  <si>
    <t>Moderna to start final phase of COVID-19 vaccine trial in July</t>
  </si>
  <si>
    <t>Sweden, the jury returns</t>
  </si>
  <si>
    <t>J&amp;J chief scientific officer on Covid-19 vaccine trials in U.S., Belgium</t>
  </si>
  <si>
    <t>Empty middle seats on planes won't stop the coronavirus</t>
  </si>
  <si>
    <t>Diary of a Covid-19 Doctor: 14 Days in a NYC Hospital | WIRED</t>
  </si>
  <si>
    <t>How "super" antibodies could help create a coronavirus vaccine</t>
  </si>
  <si>
    <t>Diary of a Trauma Surgeon: 10 Weeks of Covid-19 | WIRED</t>
  </si>
  <si>
    <t>UK government 'betting on COVID-19 vaccines that may not work', scientists warn</t>
  </si>
  <si>
    <t>COVID-19 cases in US grow to more than 2 million l ABC News</t>
  </si>
  <si>
    <t>Vitamin D Update</t>
  </si>
  <si>
    <t>There’s No Guarantee for a Covid-19 Vaccine: Cell Biologist Rohn</t>
  </si>
  <si>
    <t>Piers Gets Into a Fiery Debate Over Scottish MP's Churchill Comments | Good Morning Britain</t>
  </si>
  <si>
    <t>Germany announces second COVID-19 outbreak</t>
  </si>
  <si>
    <t>Coronavirus: Flying in the age of Covid-19? - BBC Travel Show</t>
  </si>
  <si>
    <t>Piers Morgan Shares His Dismay at Calls for Historical Statues to Be Removed | Good Morning Britain</t>
  </si>
  <si>
    <t>Watch Sky News live</t>
  </si>
  <si>
    <t>Meet people volunteering to be exposed to COVID-19 for vaccine research</t>
  </si>
  <si>
    <t>71-year old COVID-19 Survivor Story</t>
  </si>
  <si>
    <t>COVID 19: How to Wear a Face Covering Correctly</t>
  </si>
  <si>
    <t>COVID-19  - An Easy Way to Know You DON'T HAVE IT!</t>
  </si>
  <si>
    <t>Coronavirus outbreak: In a race for a vaccine, but will it happen?</t>
  </si>
  <si>
    <t>Parents! Watch this regarding COVID-19 and your Kids</t>
  </si>
  <si>
    <t>What It Will Take To Distribute A Coronavirus Vaccine To The Masses | NBC Nightly News</t>
  </si>
  <si>
    <t>New York Teen Rewarded For Good Deed Thanks To Viral Facebook Post | NBC Nightly News</t>
  </si>
  <si>
    <t>NBC Nightly News Broadcast (Full) - June 24th, 2020 | NBC Nightly News</t>
  </si>
  <si>
    <t>Coronavirus update on the global state of the pandemic | DW News</t>
  </si>
  <si>
    <t>German biotech firm starts human trials of experimental COVID-19 vaccine | WION-DW Partnership</t>
  </si>
  <si>
    <t>Coronavirus Cases Spike In Houston Amid Hospital Capacity Concerns | NBC Nightly News</t>
  </si>
  <si>
    <t>Localities Scramble To Curb Rising COVID-19 Rates Amid Vocal Opposition To Restrictions | MSNBC</t>
  </si>
  <si>
    <t>Biden Leading Trump In Key Battleground States | NBC Nightly News</t>
  </si>
  <si>
    <t>NBC Nightly News Broadcast (Full) - June 25th, 2020 | NBC Nightly News</t>
  </si>
  <si>
    <t>New Data Suggests Americans Are Gathering At Pre-Pandemic Levels | NBC News NOW</t>
  </si>
  <si>
    <t>How coronavirus spreads outdoors vs. indoors</t>
  </si>
  <si>
    <t>COVID Conversations: Sarah Gilbert on Vaccines</t>
  </si>
  <si>
    <t>What if a COVID-19 Vaccine Is Never Developed?</t>
  </si>
  <si>
    <t>NBC Nightly News Broadcast (Full) - June 12th, 2020 | NBC Nightly News</t>
  </si>
  <si>
    <t>Coronavirus: Inside a Chinese lab joining global race to find a vaccine</t>
  </si>
  <si>
    <t>21 Year Old Mumbai Boy's Story Of COVID-19 Recovery | Curly Tales</t>
  </si>
  <si>
    <t>Coronavirus Vaccine Is Already In Human Trials | This Morning</t>
  </si>
  <si>
    <t>Jim Cramer: Life won't be back to normal until there's a Covid-19 vaccine</t>
  </si>
  <si>
    <t>Is the JK Rowing Anti-Trans Backlash Fair? | Good Morning Britain</t>
  </si>
  <si>
    <t>Scientists struggle to find Covid-19 vaccine</t>
  </si>
  <si>
    <t>Shops Have Reopened, But How Can You Stay Safe? | This Morning</t>
  </si>
  <si>
    <t>This Morning’s Most Viral Moments Ever Part 2 | This Morning</t>
  </si>
  <si>
    <t>Iceland's Prime Minister On How Her Country Stopped Covid-19 | This Morning</t>
  </si>
  <si>
    <t>Britain's Biggest Coronavirus Breakthrough Yet | This Morning</t>
  </si>
  <si>
    <t>Coronavirus vaccine:  first human trial in Europe begins at Oxford - BBC News</t>
  </si>
  <si>
    <t>Parents' Horror as Adopted Six-Year-Old was Actually an Adult | This Morning</t>
  </si>
  <si>
    <t>Germany Fears a Second Coronavirus Wave After R-Rate Explodes | Good Morning Britain</t>
  </si>
  <si>
    <t>COVID-19 Vaccine | Moderna candidate to be tested in Chicago</t>
  </si>
  <si>
    <t>President Donald Trump comments on coronavirus vaccine progress</t>
  </si>
  <si>
    <t>Acosta reads Trump his past remarks downplaying virus</t>
  </si>
  <si>
    <t>Trump's Bone Spurs Act Up At West Point, Denying The President A Graceful Exit</t>
  </si>
  <si>
    <t>EXCLUSIVE Leaked Audio Of Obama &amp; Trump's Phone Calls  - CONAN on TBS</t>
  </si>
  <si>
    <t>Why the U.S. banking system could be on the verge of another crisis</t>
  </si>
  <si>
    <t>Bridges Burned: Watch Trump Hire 'Best People' And Trash Them As 'Not Qualified' On Their Way Out</t>
  </si>
  <si>
    <t>Cooper: Trump believes if you close your eyes, Covid goes away</t>
  </si>
  <si>
    <t>Colin Powell explains why Trump shouldn't be re-elected</t>
  </si>
  <si>
    <t>Reverend reveals what evangelicals say privately about Trump</t>
  </si>
  <si>
    <t>Cooper: Trump and Pence are lying. The Covid data proves it</t>
  </si>
  <si>
    <t>President Trump’s Niece Shares Family Secrets</t>
  </si>
  <si>
    <t>Donald Trump clashes with media at chaotic midterm election press conference</t>
  </si>
  <si>
    <t>Jimmy Kimmel’s Quarantine Monologue – Trump Struggles at West Point &amp; Celebrates 74th Birthday</t>
  </si>
  <si>
    <t>The Speech that Made Obama President</t>
  </si>
  <si>
    <t>Joe Biden blasts Trump's Covid response</t>
  </si>
  <si>
    <t>Trump: If you want to leave America, you can leave America</t>
  </si>
  <si>
    <t>Exclusive: Trump answers tough questions on state of US law enforcement</t>
  </si>
  <si>
    <t>How fast can a vaccine be made? - Dan Kwartler</t>
  </si>
  <si>
    <t>What It's Actually Like To Have The Coronavirus (COVID-19)</t>
  </si>
  <si>
    <t>Everything We Know About Aliens and Area 51</t>
  </si>
  <si>
    <t>Why No One Can Break Into The Most Secure Place In The World (Fort Knox)</t>
  </si>
  <si>
    <t>Pandemics Worse Than Novel Coronavirus in the History of Mankind</t>
  </si>
  <si>
    <t>Why Winning The Lottery Is The Worst Thing That Can Happen To You</t>
  </si>
  <si>
    <t>Military Can't Explain These UFOs at US &amp; Russian Nuclear Weapons Sites</t>
  </si>
  <si>
    <t>What If You Were 1000 feet (300 meters) Tall?</t>
  </si>
  <si>
    <t>Man Sells an Airport That Doesn’t Exist</t>
  </si>
  <si>
    <t>Do We Finally Know Who The Zodiac Killer Is?</t>
  </si>
  <si>
    <t>What Is It Actually Like To Have COVID-19?</t>
  </si>
  <si>
    <t>The Most Powerful Families Who Secretly Run The World?</t>
  </si>
  <si>
    <t>What If the COVID-19 Pandemic Lasts 18 Months or More?</t>
  </si>
  <si>
    <t>Escaping Prison via Mail</t>
  </si>
  <si>
    <t>When is a pandemic over?</t>
  </si>
  <si>
    <t>Man Wakes Up From a 12 Year Coma, Remembers Everything</t>
  </si>
  <si>
    <t>Crazy Things Actually Sold on the Dark Web</t>
  </si>
  <si>
    <t>Why The Dating Scene in North Korea is Insane</t>
  </si>
  <si>
    <t>Why It Would Suck To Live Through The End Of The Universe</t>
  </si>
  <si>
    <t>I’m Afraid It’s Going To Get Worse | Coronavirus Spikes</t>
  </si>
  <si>
    <t>Did a Doctor Discover Proof of Past Lives</t>
  </si>
  <si>
    <t>WHO on a COVID-19 Vaccine and Treatment</t>
  </si>
  <si>
    <t>Coronavirus: Glenmark Pharmaceuticals ने लॉन्च की Corona Medicine, जानिए कीमत | वनइंडिया हिंदी</t>
  </si>
  <si>
    <t>Dexamethasone for Coronavirus (COVID-19) - GOOD NEWS! _xD83D__xDE00_ | Coronavirus Medicine</t>
  </si>
  <si>
    <t>COVID-19 Vaccine Available Soon, Breaking News</t>
  </si>
  <si>
    <t>Dr. Stephanie Wright: COVID-19 Vaccine Developments</t>
  </si>
  <si>
    <t>‘Threat from North Korea today is absolutely greater’: Bolton</t>
  </si>
  <si>
    <t>United Nations LIVE</t>
  </si>
  <si>
    <t>COVID VACCINE UPDATE</t>
  </si>
  <si>
    <t>Are Germany and the US going through a break up?</t>
  </si>
  <si>
    <t>70 Covid-19 vaccines are in development around the world</t>
  </si>
  <si>
    <t>Coronavirus puts India's health care system on the edge of collapse | DW News</t>
  </si>
  <si>
    <t>A tale of two plagues: Locusts in South Asia and the coronavirus</t>
  </si>
  <si>
    <t>Bolsonaro pushes to reopen Brazil despite rise in Covid-19 cases</t>
  </si>
  <si>
    <t>Dexamethasone first drug to improve survival in covid-19</t>
  </si>
  <si>
    <t>Prince William Meets Vaccine Trial Volunteers at Oxford University</t>
  </si>
  <si>
    <t>WHO warns world is entering 'dangerous phase' of outbreak</t>
  </si>
  <si>
    <t>China: Vaccine Race vs. Past Scandal</t>
  </si>
  <si>
    <t>Oxford vaccine in final stage of clinical trials, academic calendar set to be reworked</t>
  </si>
  <si>
    <t>SETTING THE BAR ON MANDATORY VACCINATION</t>
  </si>
  <si>
    <t>House hearing on migration policy response to COVID-19</t>
  </si>
  <si>
    <t>W.H.O. FLIPS ON MASKS, FLOPS ON FUNDING</t>
  </si>
  <si>
    <t>Jenny McCarthy's controversial 'View' on v...</t>
  </si>
  <si>
    <t>As a kid, I used to eat zongzi wrapped in shells of bamboo shoots.我小时候吃过的传统笋壳粽子，你那有吗？</t>
  </si>
  <si>
    <t>Melinda Messenger Angers Dr Chris for Not Giving her Daughter the HPV Vaccine | This Morning</t>
  </si>
  <si>
    <t>I Broke Into A House And Left $50,000</t>
  </si>
  <si>
    <t>DEL DEBATES DERSHOWITZ</t>
  </si>
  <si>
    <t>OH NO, W.H.O.!</t>
  </si>
  <si>
    <t>The Truth About Social Distancing _xD83D__xDE37_</t>
  </si>
  <si>
    <t>STAND HIGH PATROL: The Big Tree</t>
  </si>
  <si>
    <t>FEWER CHILDREN DYING DURING COVID?</t>
  </si>
  <si>
    <t>Pro-Vaccine vs Anti-Vaccine: Should Your Kids Get Vaccinated?</t>
  </si>
  <si>
    <t>Trial of revolutionary new vaccine for coronavirus begins in London - BBC News</t>
  </si>
  <si>
    <t>Hasidic Man Debates Journalist Del Bigtree</t>
  </si>
  <si>
    <t>Robert F. Kennedy Jr: My response to John Oliver</t>
  </si>
  <si>
    <t>Rob Schneider clarifies his position on vaccines</t>
  </si>
  <si>
    <t>the HighWire Show [Hanalei Swan &amp; Unstoppable Family] w/ Del Bigtree on Dec 6, 2019 episode</t>
  </si>
  <si>
    <t>Zach Bush MD: Highwire with Del Bigtree Interview 2020</t>
  </si>
  <si>
    <t>Vitamin D hits the media</t>
  </si>
  <si>
    <t>EXPOSED!!! Bill Gates Offered $10 billion Bribe For Forced Vaccination In Africa | Viable Tv</t>
  </si>
  <si>
    <t>Gates Foundation accused of exploiting its leverage in Africa</t>
  </si>
  <si>
    <t>RAW: Pastor Gino Jennings Slaps White Jesus and Tells the Truth</t>
  </si>
  <si>
    <t>Shocker!!!: Whites Expose The Plan Against Blacks In Europe, US &amp; Canada, Blacks Wake Up</t>
  </si>
  <si>
    <t>Unusual animal behavior in China; Beijing like 'ghost town' amid coronavirus; Massive floods</t>
  </si>
  <si>
    <t>Reps React Over $10 Million Bill Gates Alleged Bribe</t>
  </si>
  <si>
    <t>Big Shocker!!:Blacks &amp; White Must Watch, New Vaccine Bill SB163 Secrets And More Update, Dr. Scott</t>
  </si>
  <si>
    <t>Julian Assange's hidden family revealed: top secrets inside the Embassy | 60 Minutes Australia</t>
  </si>
  <si>
    <t>Alleged $10b Bill Gates Bribe : Police Arrests CUPP Spokesman Ugochinyere</t>
  </si>
  <si>
    <t>ANTIFA: The truth behind the mask</t>
  </si>
  <si>
    <t>Muammar Gaddafi Interviewed Just Before Libyan Revolution</t>
  </si>
  <si>
    <t>Shocking truth of how i got Secret Powers as a Fake Pastor| I've Been Through The Most| Ps Makhado</t>
  </si>
  <si>
    <t>Amazing Truth!!!!Every Black Person Needs to See This | Viable Tv</t>
  </si>
  <si>
    <t>The Legal Marijuana Industry Is Rigged | Patriot Act with Hasan Minhaj | Netflix</t>
  </si>
  <si>
    <t>The Land of No Men: Inside Kenya's Women-Only Village</t>
  </si>
  <si>
    <t>Why Trump Just Fired The One Prosecutor He Fears More Than Mueller | MSNBC</t>
  </si>
  <si>
    <t>New Cannibalism? The Real Story Behind Blood Donations (Big Business Documentary) | Real Stories</t>
  </si>
  <si>
    <t>Exposing the Gates Agenda in Africa</t>
  </si>
  <si>
    <t>Bill And Melinda Gates Deny Bribing Lawmakers With $10million</t>
  </si>
  <si>
    <t>A lying undercover agent arrested 46 people, most of them black, on drug charges</t>
  </si>
  <si>
    <t>CORONA VACCINATION DISCOVERED ??? News me dekha Coronil karke kuch hai.</t>
  </si>
  <si>
    <t>KITNE ME KHARIDOGE? || Ridergirl Vishakha</t>
  </si>
  <si>
    <t>RIDING KAWASAKI Z650! Ridergirl Vishakha</t>
  </si>
  <si>
    <t>PERIODS K WAJAHA SE...</t>
  </si>
  <si>
    <t>New Gift BMW GS 310?_xD83D__xDE1C_</t>
  </si>
  <si>
    <t>THIS CAR DRIVER BLOCKED ME THRICE ON HIGHWAY - 9 TOLLS CROSSED SAFELY</t>
  </si>
  <si>
    <t>THESE MAN MADE ZOMBIES</t>
  </si>
  <si>
    <t>GOODBYE MY WORKSPACE!</t>
  </si>
  <si>
    <t>DOCTOR'S APPOINTMENT CANCEL_xD83D__xDE30_</t>
  </si>
  <si>
    <t>DELIVERY OF MY NEW BIKE</t>
  </si>
  <si>
    <t>WHY DID I CRY? #SOLORIDE</t>
  </si>
  <si>
    <t>HOW I TAKE INSTAGRAM PICTURE AT HOME - Lights/Camera/Setup/Makeup/Props || Ridergirl Vishakha</t>
  </si>
  <si>
    <t>BIKE GHASID DIYA PURA!</t>
  </si>
  <si>
    <t>KURLA CHOR BAZAAR IN LOCKDOWN</t>
  </si>
  <si>
    <t>Singapore gives a major shocker to China, rejects Chinese Telecom companies</t>
  </si>
  <si>
    <t>THIS IS DANGEROUS! _xD83D__xDE13_</t>
  </si>
  <si>
    <t>A DEAD GOAT,ANGRY MOB,POLICE &amp; THE BIKERS | UNCUT</t>
  </si>
  <si>
    <t>India to Australia on a Motorcycle | 27,500 kms | 9 Countries | Candida Louis</t>
  </si>
  <si>
    <t>CAUGHT BY POLICE ON MY SOLO RIDE #NARMADAPARIKRAMA</t>
  </si>
  <si>
    <t>HAIRCUT GONE WRONG_xD83D__xDC74__xD83D__xDE46_‍♂️ || Ridergirl Vishakha</t>
  </si>
  <si>
    <t>Tony Robbins interviews Dr. Michael Levitt, Nobel Laureate and Stanford Professor, about his extensive analysis of COVID-19 mortality rates – which have shown strict lockdowns to be an overreaction that have caused more harm than good. 
This interview is part of the “Facts From the Frontlines” episode of #TheTonyRobbinsPodcast, where Tony uncovers the truth about coronavirus with a 7-person panel of highly qualified researchers, an experienced epidemiologist, a Nobel Laureate, and M.D.s testing and treating patients on the frontlines. Together, they reveal the evidence-based research that has come to light in the last two months.
This is one of the most important interviews Tony has ever conducted. It reminds us to stand guard at the door of our mind, practice discernment when determining trustworthy sources, and think critically in order to stay flexible and maintain the ability to pivot in light of new information – especially when lives depend on it.
*COVID-19 Playlist*
https://www.youtube.com/watch?v=YgP_Au5RZVw&amp;list=PLYTXvUDQT5pUaoPTzi71UIqilqgBOKkQe
Do You Fear COVID-19? Take the survey now! https://www.youtube.com/post/Ugw2ngqc5jsC8jPiHb54AaABCQ 
00:00 - start
00:31 - Professor Levitt
00:19 - Journey against fear
03:18 - Not much worse than the flu
03:46 - Average person believe what we have been told
04:36 - Death rates is what's important
06:06 - Epidemiologists don't mind being wrong on the high side
07:02 - Decisions that were made were bases off morbidity rate of 3.5% - 4.5%
07:28 - Algorithm = Model = Guess
08:13 -  We have new data but we haven't changed what we're doing
10:08 - 4 countries that did NOT shut down
10:58 - Herd immunity
14:03 - Who Coronavirus taking out? 
15:32 - Being coded for COVID
16:54 - A race to try to maximize deaths
17:28 - Did social distancing save us? 
18:41 - Update from Tony Robbins
To hear the full interview, go here: https://www.tonyrobbins.com/podcasts/covid-19-facts-from-the-frontline/
*NEW RESEARCH FROM DR. LEVITT*: Influenza and COVID19 Have Similar Total and Age Range Excess Deaths
https://www.tonyrobbins.com/podcasts/covid-19-facts-from-the-frontline/#additionalresearch
*FREE* Copy of Tony Robbins' UNSHAKEABLE Book: 
https://www.unshakeable.com/
Follow TR:
Facebook: https://www.facebook.com/TonyRobbins
Twitter: https://twitter.com/tonyrobbins
LinkedIn: https://www.linkedin.com/in/ajrobbins
Instagram: https://instagram.com/tonyrobbins/
Website: https://www.tonyrobbins.com/ 
Tony Robbins is a #1 New York Times best-selling author, entrepreneur, and philanthropist. For more than 37 years, millions of people have enjoyed the warmth, humor and dynamic presentation of Mr. Robbins' corporate and personal development events. As the nation's #1 life and business strategist, he's called upon to consult and coach some of the world's finest athletes, entertainers, Fortune 500 CEOs, and even presidents of nations.</t>
  </si>
  <si>
    <t>In today’s video we are going to take a deep look at the top 10 stocks in Bill Gates Portfolio. 
► My Patreon Page &amp; BEAST MODE Spreadsheets: https://www.patreon.com/jerryromine
► WeBull 2 FREE STOCKS VALUE UP To $1400: https://bit.ly/2SRHXOL  
► Robinhood Free Stock: https://join.robinhood.com/geraldr567
► Open A Roth IRA: https://m1finance.8bxp97.net/rmZ5R
► eToro Investing Platform for non-USA to trade in USA: https://bit.ly/36kp6RV
Bill Gates is currently 2nd richest man in the world at 109 billion dollars and we are hoping to learn more as we continue our portfolio analysis series.
So far we have studied at Warren Buffet, Cathie Wood, and Ray Dalio and my favorite so far has been Cathie Wood. 
Unlike other channels that pump stocks or jump up and down with crazy antics I take a data driven approach and built my own  BEAST MODE stock analysis which allows for side by side comparisons of stocks so we can invest based on factual data instead of hyped BS.
So today we are going to take a look at Bill Gates Top 10 stocks and we’ll let the fundamental analysis speak for itself. 
A Deep Look Into Bill Gates Portfolio
__________________________
JERRY’s POPULAR VIDEOS
△How To Analyze Stocks (Fundamental Analysis): https://youtu.be/6ETEH-N5Zqc
△How I Became A Millionaire: https://youtu.be/V9VFasLZYPc
△Buy These Stocks: https://youtu.be/-3U2tNvwydI 
△Charting Buy &amp; Sell Signals(BONUS 2nd Half): https://youtu.be/3uK87jfmuSI
△WeBull App Complete Tutorial (GREAT INFO HERE): https://youtu.be/6lHMPwHbHoU
△How To Buy At The Bottom: https://youtu.be/WPQqK6hb6OA
△Stock Market Analysis Playlist: https://bit.ly/2VD5Lrt 
△Jerry’s Travel Video Playlist: https://bit.ly/2KSdyvm  
MY FAVORITE THINGS.
△Best Books For Stock Investors: https://amzn.to/3bre2DJ
△Favorite Electronic Gear: https://amzn.to/2zu9lvq
△Favorite Nomad Gear: https://amzn.to/3bx9Gel
△AIRBNB $55 Discount: https://bit.ly/39iGUgA
△TubeBuddy The Tool For Tubers: https://www.tubebuddy.com/JerryRomine
LET’S CONNECT:
△ Instagram: https://www.instagram.com/jerryromine/
△ Facebook: https://www.facebook.com/JerryRomineEntrepreneurAbroad 
Disclosures: All opinions are my own. Sponsors are acknowledged. Some links in the description are affiliate links that if you click on one of the product links, I’ll receive a commission at no additional cost to you. As an Amazon Associate I earn a small commission from qualifying purchases.  I am not a financial advisor. The ideas presented in this video are personal opinions and for entertainment purposes only. FAIR USE is permitted by copyright statute that might otherwise be infringing. You, and only you, are responsible for your financial decisions.
#JerryRomine #StocksForBeginners #StocksToBuyNow
STOCK TICKER SYMBOLS:
BRK.B Stock Berkshire Hathaway Inc.
WM Stock Waste Management, Inc.
CMI Stock Cummins Inc.
WMT Stock Walmart Inc.
CAT Stock Caterpillar Inc.
CCI Stock Crown Castle International Corp. (REIT)
ECL Stock Ecolab Inc.
UPS Stock United Parcel Service, Inc.
FDX Stock FedEx Corporation
SDGR Stock Schrödinger, Inc.</t>
  </si>
  <si>
    <t>Global Vaccine Summit 2020
The UK-hosted Global Vaccine Summit heralds a new era of global health collaboration as world leaders show overwhelming commitment to equitable immunisation coverage and global health security in the face of the COVID-19 pandemic. The virtual event raised US$ 8.8 billion from 32 donor governments and 12 foundations, corporations and organisations to immunise 300 million children and support the global fight against COVID-19.
Subscribe for more videos: http://bit.ly/2VBpGY7
Follow Gavi on social media:
Twitter: https://twitter.com/gavi
Facebook: https://www.facebook.com/gavi
Instagram: https://www.instagram.com/gavialliance
LinkedIn: https://www.linkedin.com/company/gavi
For more about Gavi's work, visit: http://www.gavi.org</t>
  </si>
  <si>
    <t>Originally broadcast live on 05 June 2020, the daily press briefing on coronavirus COVID-19, direct from WHO Headquarters, Geneva Switzerland with Dr Tedros WHO Director-General, Dr Micheal Ryan, Executive Director of the Health Emergencies Programme,  and Dr Maria Van Kerkhove, Technical lead COVID-19, WHO Health Emergencies Programme.</t>
  </si>
  <si>
    <t>Alors que Gavi fête ses 20 ans, nous avons parlé aux personnes qui ont fait partie de l’histoire de Gavi depuis le tout début. Ici, elles expliquent comment une idée audacieuse s’est transformée en une organisation novatrice qui, en 20 ans, a aidé à vacciner plus 760 millions d’enfants.
Pour plus de vidéos, abonnez-vous : http://bit.ly/2VBpGY7
Suivez Gavi sur les réseaux sociaux :
Twitter: https://twitter.com/gavi
Facebook: https://www.facebook.com/gavi
Instagram: https://www.instagram.com/gavialliance
LinkedIn: https://www.linkedin.com/company/gavi
Pour en savoir plus sur le travail de Gavi, visitez : http://www.gavi.org</t>
  </si>
  <si>
    <t>We don’t yet know how the COVID-19 pandemic will progress and how long it will take for a vaccine to be developed, but the knowledge and experience gained from past outbreaks can be applied to the global response to coronavirus. Watch as Aurélia Nguyen Managing Director for Vaccines &amp; Sustainability, and Gavi CEO Dr Seth Berkley explain when, why and how an emergency vaccine stockpile is used to tackle an epidemic.
Subscribe for more videos: http://bit.ly/2VBpGY7
Follow Gavi on social media:
Twitter: https://twitter.com/gavi
Facebook: https://www.facebook.com/gavi
Instagram: https://www.instagram.com/gavialliance
LinkedIn: https://www.linkedin.com/company/gavi
For more about Gavi's work, visit: http://www.gavi.org</t>
  </si>
  <si>
    <t>Chinese Premier Li Keqiang and senior government officials of more than 50 countries have attended an online summit to raise funds for global vaccination programs, including a COVID-19 vaccine, hosted by British Prime Minister Boris Johnson. Premier Li has announced a 20,000,000 U.S. dollar donation to the program. The Global Vaccine Summit is expected to raise funds for a UN-backed alliance that helps get vaccines to developing countries.
Subscribe to us on YouTube: https://goo.gl/lP12gA
Download our APP on Apple Store (iOS): https://itunes.apple.com/us/app/cctvnews-app/id922456579?l=zh&amp;ls=1&amp;mt=8
Download our APP on Google Play (Android): https://play.google.com/store/apps/details?id=com.imib.cctv
Follow us on:
Website: https://www.cgtn.com/
Facebook: https://www.facebook.com/ChinaGlobalTVNetwork/
Twitter: https://twitter.com/CGTNOfficial
Instagram: https://www.instagram.com/cgtn/?hl=zh-cn
Pinterest: https://www.pinterest.com/CGTNOfficial/
Weibo: http://weibo.com/cctvnewsbeijing
Douyin: http://v.douyin.com/aBbmNQ/</t>
  </si>
  <si>
    <t>Bill Gates talks to Gavi about its past, present and future.
Find out more http://www.gavi.org/?utm_source=youtube.com&amp;utm_medium=referral</t>
  </si>
  <si>
    <t>#RepublicTV #RepublicTVLive #LiveTV
Addressing the UK-led Global Vaccine Summit organised by the Global Alliance for Vaccines and Immunisation (Gavi) on Thursday, Prime Minister Narendra Modi offered India's support in producing vaccines at a low cost. This assumes significance in the wake of the COVID-19 crisis which has claimed 3,83,872 lives all over the world. So far, there is no vaccine to cure the novel coronavirus. He emphasised that the Gavi was not just an alliance but a symbol of global solidarity. Moreover, he cited India's track record of immunisation. 
He also highlighted that India had donated to the Gavi despite being eligible for financial support. The PM reiterated the country's solidarity with the rest of the world amid the novel coronavirus crisis. Thereafter, he conveyed his best wishes for the success of Gavi. India pledged 15 million US dollars to the Gavi. Watch more on Republic World ► http://bit.ly/2QoRSt0
Subscribe to Republic TV &amp; Don't forget to press THE BELL ICON to never miss any updates► http://bit.ly/RepublicWorld
Official Website - https://www.republicworld.com/
Republic TV is India's no.1 English news channel since its launch. It is your one-stop destination for all the live news updates from India and around the world. Republic TV makes news accessible for you at your convenience, at all times and across devices. At Republic we keep you updated with up-to-the-minute news on politics, sports, entertainment, lifestyle, gadgets and much more. 
We believe in Breaking the story and Breaking the Silence. But most importantly, for us ‘You Are Republic, We Are Your Voice.’
Also, Watch ► 
Republic TV Live News Updates ►http://bit.ly/RepublicTVLiveNews
The Debate With Arnab Goswami ► http://bit.ly/TheDebateWithArnabGoswami
Biggest Story Tonight ► http://bit.ly/BiggestStoryTonight
Burning Question Debates ► http://bit.ly/BurningQuestionDebate
Patriot With Major Gaurav Arya ► http://bit.ly/PatriotFullEpisodes
Exclusive Sunday Debate With Arnab Goswami ► http://bit.ly/SundayDebate
You can stay connected with Republic TV on -
Facebook - https://www.facebook.com/RepublicWorld/
Follow us on Twitter - https://twitter.com/republic
Official Website - https://www.republicworld.com/</t>
  </si>
  <si>
    <t>WION Dispatch: UK to chair global vaccine summit | 50 state heads to attend the summit | COVID-19 
The United Kingdom is all set to ost a virtual vaccine summit on June 4. PM Boris Johnson is expected to urge world leaders to raise close to 7.4 billion dollars. Watch report, 
#GlobalVaccineSummit #VaccineSummit #UK
 About Channel:
The World is One News, WION examines global issues with in-depth analysis. We provide much more than the news of the day. Our aim is to empower people to explore their world.
Please keep discussions on this channel clean and respectful and refrain from using racist or sexist slurs as well as personal insults.
Subscribe to our channel at https://goo.gl/JfY3NI
Check out our website: http://www.wionews.com
Connect with us on our social media handles:
Facebook: https://www.facebook.com/WIONews
Twitter: https://twitter.com/WIONews
Follow us on Google News for latest updates
Follow us on Google News for latest updates
Zee News:- https://bit.ly/2Ac5G60
Zee Bussiness:- https://bit.ly/36vI2xa
DNA India:- https://bit.ly/2ZDuLRY
WION: https://bit.ly/3gnDb5J
Zee News Apps : https://bit.ly/ZeeNewsApps</t>
  </si>
  <si>
    <t>Nestlé Health Science Online Symposium: Nutritional Management of Pediatric Crohn's disease
Live Q&amp;A at 5:00pm CET. Ask your questions live here to all speakers: https://app.sli.do/event/9pjacx1v</t>
  </si>
  <si>
    <t>An inspiring new video sets out the impact of Gavi's work since the Vaccine Alliance was created.
Learn more: http://www.gavi.org/?utm_source=youtube.com&amp;utm_medium=referral</t>
  </si>
  <si>
    <t>Efforts to find a coronavirus (COVID-19) vaccine are about to take another major step forward, though declining cases could actually hamper those efforts.</t>
  </si>
  <si>
    <t>We want to thank Dr. Jerome Kim, the Director General of the International Vaccine Institute (IVI), for sharing his expert insight on the development of a vaccine for COVID-19. Visit IVI's website for more information: https://www.ivi.int
With all the misinformation and conspiracy theories about COVID-19 going around, we need to unite as a community to ask and find science-based answers from the real experts. On our community app, MOGAO, you can interact and share accurate information with other intellectually-curious members from all over the world. If you’re sick of all the negativity from mainstream social media and wanted to be a part of a super positive and informative online community for a change, then download our app here:
App Store (iPhone): https://bit.ly/2wyascp
Play Store (Android): https://bit.ly/2UxJycD</t>
  </si>
  <si>
    <t>COVID-19 Update 79 with Roger Seheult, MD who is Quadruple Board Certified and an Associate Professor at UC Riverside School of Medicine, and Co-Founder of https://www.medcram.com
Dr. Seheult discusses five COVID 19 vaccines that have shown some promise in phase 1, 2, and 3 trials.  These include an mRNA vaccine (Moderna), an adenovirus antigen (epitope) vaccine (Oxford Vaccine Group), a vaccine developed by Johnson and Johnson, a coronavirus vaccine developed by Merck (that utilizes similar technology for the development of their Ebola vaccine), and another mRNA coronavirus vaccine developed by Pfizer. (This video was recorded June 4, 2020)
-------------------------------------------
Live Event: Dr. Seheult interviewed by Dr. Desai about vaccines at 4 pm PT on Thurs. June 4, 2020 (MedIQ on Facebook) https://www.facebook.com/MedIQCME/posts/3048648725192804
Links referenced in this video:
Johns Hopkins Tracker - https://coronavirus.jhu.edu/map.html
RAPS - https://www.raps.org/news-and-articles/news-articles/2020/3/covid-19-vaccine-tracker
STAT - https://www.statnews.com/2020/03/11/researchers-rush-to-start-moderna-coronavirus-vaccine-trial-without-usual-animal-testing/
-------------------------------------------
Some previous videos from this series (visit MedCram.com for the full series):
- Coronavirus Pandemic Update 78: Mask Controversy; Vaccine Update for COVID-19 https://youtu.be/_IrYyhufDwI
- Coronavirus Pandemic Update 77: Remdesivir Update; COVID-19 in Mexico https://youtu.be/LXtY_3A0WN8
- Coronavirus Pandemic Update 76: Antibody Testing False Positives in COVID-19 https://youtu.be/NSRK41UbTEU
- Coronavirus Pandemic Update 75: COVID-19 Lung Autopsies - New Data https://youtu.be/PlUFibXtDxQ
- Coronavirus Pandemic Update 74: Vitamin D &amp; COVID 19; Academic Censorship https://youtu.be/-zK8LgVx2G8
- Coronavirus Pandemic Update 73: Relapse, Reinfections, &amp; Re-Positives - The Likely Explanation https://youtu.be/01Rftnxbi6w
- Coronavirus Pandemic Update 72: Dentists; Diabetes; Sensitivity of COVID-19 Antibody Tests: https://youtu.be/UANgon3Umns
- Coronavirus Pandemic Update 71: New Data on Adding Zinc to Hydroxychloroquine + 
Azithromycin: https://youtu.be/WZq-K1wpur8
- Coronavirus Pandemic Update 70: Glutathione Deficiency, Oxidative Stress, and COVID 19 https://youtu.be/OtL0B1bqXak
- Coronavirus Pandemic Update 69: "NAC" Supplementation and COVID-19 (N-Acetylcysteine) https://youtu.be/Dr_6w-WPr0w
- Coronavirus Pandemic Update 68: Kawasaki Disease; Minority Groups &amp; COVID-19: https://youtu.be/Ja-jhcXMGj0
- Coronavirus Pandemic Update 67: COVID-19 Blood Clots - Race, Blood Types, &amp; Von Willebrand Factor https://youtu.be/JOlVkES_kC8
- Coronavirus Pandemic Update 66: ACE-Inhibitors and ARBs - Hypertension Medications with COVID-19 https://youtu.be/OudhmwulJHY
- Coronavirus Pandemic Update 65: COVID-19 and Oxidative Stress (Prevention &amp; Risk Factors) https://youtu.be/gzx8LH4Fjic
- Coronavirus Pandemic Update 64: Remdesivir COVID-19 Treatment Update https://youtu.be/Z2hfGcTokiY
- Coronavirus Pandemic Update 63: Is COVID-19 a Disease of the Endothelium (Blood Vessels and Clots)? https://youtu.be/Aj2vB_VITXQ
- Coronavirus Pandemic Update 62: Treatment with Famotidine (Pepcid)? https://youtu.be/DtPwfihjyrY
- Coronavirus Pandemic Update 61: Blood Clots &amp; Strokes in COVID-19; ACE-2 Receptor; Oxidative Stress https://youtu.be/22Bn8jsGI54
- Coronavirus Pandemic Update 60: Hydroxychloroquine Update; NYC Data; How Widespread is COVID-19? https://youtu.be/fn2yk5SbGiw
- Coronavirus Pandemic Update 59: Dr. Seheult's Daily Regimen (Vitamin D, C, Zinc, Quercetin, NAC) https://youtu.be/NM2A2xNLWR4
- Coronavirus Pandemic Update 58: Testing; Causes of Hypoxemia in COVID 19 (V/Q vs Shunt vs Diffusion) https://youtu.be/nO4xgcIaPeA
All coronavirus updates are at MedCram.com (including a discussion of the diagnosis, prevention, treatment, and vaccines for COVID-19 - including mRNA vaccines such as the Moderna vaccine) and we offer many other medical topics (ECG Interpretation, strokes, thrombosis, pulmonary embolism, myocardial infarction, hypercoagulation, hypertension, anticoagulation, DKA, acute kidney injury, influenza, measles, mechanical ventilation, etc.).
-------------------------------------------
Speaker: Roger Seheult, MD
Board Certified in Internal Medicine, Pulmonary Disease, Critical Care, and Sleep Medicine.
Associate Professor at the University of California, Riverside School of Medicine
MedCram provides videos to a variety of medical schools, education programs, and institutions (please contact us at customers@medcram.com if you are interested)
Media Contact: customers@medcram.com
Media contact info: https://www.medcram.com/pages/media-contact
MedCram medical videos are for medical education and exam preparation, and NOT intended to replace recommendations from your doctor.
#COVID19 #SARSCoV2 #FOAMed</t>
  </si>
  <si>
    <t>PM Lee Hsien Loong's message at the Global Vaccine Summit on 4 June 2020.
(PMO Video by Alex Qiu)</t>
  </si>
  <si>
    <t>Researchers continue to work toward a coronavirus vaccine, in hopes to put an end to the pandemic. And, as Meg Oliver reports, we could see human trials as early as August.
Subscribe to the "CBS Evening News" Channel HERE: http://bit.ly/1S7Dhik
Watch Full Episodes of the "CBS Evening News" HERE: http://cbsn.ws/23XekKA
Watch the latest installment of "On the Road," only on the "CBS Evening News," HERE: http://cbsn.ws/23XwqMH
Follow "CBS Evening News" on Instagram: http://bit.ly/1T8icTO
Like "CBS Evening News" on Facebook HERE: http://on.fb.me/1KxYobb
Follow the "CBS Evening News" on Twitter HERE: http://bit.ly/1O3dTTe
Follow the "CBS Evening News" on Google+ HERE: http://bit.ly/1Qs0aam
Get your news on the go! Download CBS News mobile apps HERE: http://cbsn.ws/1Xb1WC8
Get new episodes of shows you love across devices the next day, stream local news live, and watch full seasons of CBS fan favorites anytime, anywhere with CBS All Access. Try it free! http://bit.ly/1OQA29B
---
The "CBS Evening News" premiered as a half-hour broadcast on Sept. 2, 1963. Check local listings for CBS Evening News broadcast times.</t>
  </si>
  <si>
    <t>Be one of the first 200 people to sign up with this link and get 20% off your subscription with Brilliant! https://brilliant.org/realscience/ 
New streaming platform: https://watchnebula.com/
Instagram: https://www.instagram.com/stephaniesammann
Credits:
Writer/Narrator/Editor: Stephanie Sammann
Illustrator/Animator: Kirtan Patel https://kpatart.com/illustrations
Sound: Graham Haerther https://haerther.net
Thumbnail: Simon Buckmaster https://twitter.com/forgottentowel
Producer: Brian McManus https://www.youtube.com/c/realengineering
References:
[1] https://www.theguardian.com/world/2020/mar/24/coronavirus-vaccine-when-will-it-be-ready-trials-cure-immunisation
[2] https://data.unicef.org/topic/child-health/immunization/
[3] https://www.cdc.gov/vaccines/hcp/conversations/understanding-vacc-work.html
[4] https://www.cdc.gov/flu/prevent/how-fluvaccine-made.htm
[5] https://www.nature.com/articles/d41586-019-02756-5
[6] https://www.modernatx.com/modernas-work-potential-vaccine-against-covid-19
[7] https://www.phgfoundation.org/briefing/rna-vaccines
[8] https://www.ncbi.nlm.nih.gov/pubmed/27382155
[9] https://www.researchgate.net/publication/5426454_DNA_vaccines_and_their_applications_in_veterinary_practice_Current_perspectives
[10] https://www.nature.com/articles/d41586-020-00798-8
[11] https://path.azureedge.net/media/documents/VAC_clinical_trials_fs_2015.pdf</t>
  </si>
  <si>
    <t>Many COVID-19 questions were answered at the recent International Webinar on Global Science and Technology Development and Governance under the COVID-19 Epidemic. CGTN reporter Wang Hui sat down with the director of the Global Public Health Center of the Chinese Center for Disease Control and Prevention. He talked about China's progress and challenges in developing a vaccine for COVID-19, and more. #coronavirus
Subscribe to us on YouTube: https://goo.gl/lP12gA
Download our APP on Apple Store (iOS): https://itunes.apple.com/us/app/cctvnews-app/id922456579?l=zh&amp;ls=1&amp;mt=8
Download our APP on Google Play (Android): https://play.google.com/store/apps/details?id=com.imib.cctv
Follow us on:
Website: https://www.cgtn.com/
Facebook: https://www.facebook.com/ChinaGlobalTVNetwork/
Twitter: https://twitter.com/CGTNOfficial
Instagram: https://www.instagram.com/cgtn/?hl=zh-cn
Pinterest: https://www.pinterest.com/CGTNOfficial/
Weibo: http://weibo.com/cctvnewsbeijing
Douyin: http://v.douyin.com/aBbmNQ/</t>
  </si>
  <si>
    <t>New cases are on the rise in 27 states and states from Arizona to Mississippi are facing strains on their hospital systems.
#ABCNews #COVID19 #RisingCases #Coronavirus #Mississippi #Arizona</t>
  </si>
  <si>
    <t>What Doctors Are Learning From Autopsy Findings of Coronavirus (COVID-19) Patients
#coronavirus #covid19 #covid_19
Coronavirus | COVID-19 YouTube Video Playlist: 
https://www.youtube.com/playlist?list=PLgqCliyXQhezro4JBt2zJDWo7XdCTn_45
The Vitamin D that I take: https://amzn.to/36u3F0R
Once the SARS-CoV-2 virus is deeply embedded in the body, it begins to cause more severe disease. This is where the direct attack on other organs that have ACE2 receptors can occur, including heart muscle, kidneys, blood vessels, liver, and the brain. Early findings, including those from multiple autopsy and biopsy reports, show that viral particles can be found not only in the nasal passages and throat, but also in tears, stool, kidneys, liver, pancreas, and heart. One case report found evidence of viral particles in the CSF, meaning the fluid around the brain. That patient had meningitis. 
So the virus is sometimes going to all these different organs by means of attaching to the ACE2 receptors that are there, but that’s not even the whole story. 
Because in some cases, by the time the body’s immune system figures out the body are being invaded, it's like unleashing the military to stomp out the virus, and in that process, there’s a ton of collateral damage.  This is what we refer to as the cytokine storm. When the virus gets into the alveolar cells, meaning the tiny little air sacs within the lungs, it makes a ton of copies of itself and goes onto invading more cells. The alveoli’s next-door neighbor is guessed who, yeah, the tiniest blood vessels in our body, capillaries. And the lining of those capillaries is called the endothelium, which also has ACE2 receptors. And once the virus invades the capillaries. It means that it serves as the trigger for the onslaught of inflammation AND clotting. Early autopsy results are also showing widely scattered clots in multiple organs. In one study from the Netherlands, 1/3rd of hospitalized with COVID-19 got clots despite already being on prophylactic doses of blood thinners. So not only are you getting the inflammation with the cytokine storm, but you’re also forming blood clots, that can travel to other parts of the body, and cause major blockages, effectively damaging those organs. 
So it can cause organ damage by 
1) Directly attacking organs by their ACE2 receptor? Yup
2) Indirectly attacking organs by way of collateral damage from the cytokine storm? Yup
3) Indirectly cause damage to organs by means of blood clots? yup 
4) Indirectly cause damage as a result of low oxygen levels, improper ventilator settings, drug treatments themselves, and/or all of these things combined? Yeah
Endothelial cells are more vulnerable to dying in people with preexisting endothelial dysfunction, which is more often associated with being a male, being a smoker, having high blood pressure, diabetes, and obesity. Blood clots can form and/or travel to other parts of the body. When blood clots travel to the toes, and cause blockages in blood flow there, meaning ischemia or infarction, that can cause gangrene there. And lots of times patients with gangrene require amputation, and “COVID toes”
So is antiphospholipid antibody syndrome, the cause of all these blood clots in patients with severe COVID? Maybe. Some patients with APS have what’s called catastrophic APS, where these patients can have strokes, seizures, heart attacks, kidney failure, ARDS, skin changes like the ones I mentioned. Viral infectious diseases, particularly those of the respiratory tract, have been reported as being the triggers for CAPS.
Various factors increase the risk of developing arterial thrombosis. Classically, the cardiovascular-dependent risk factors implicated in clotting have been hypertension, meaning high blood pressure, high levels of cholesterol, smoking, diabetes, age, chemotherapy, and degree of infection. All of these contribute toward developing arterial thrombosis.
A lot of patients with severe COVID-19 have certain labs that resemble DIC, such as increased PT/INR, increased PTT, decreased levels of platelets. But the reason why these COVID patients who developed clots in the study I mentioned earlier, the reason why they don’t have DIC, is actually 2 reasons, one, they weren’t having extensive bleeding, and two, they did not have low fibrinogen levels. And if its truly DIC, you would have both of those things. 
Anyway, you can probably glean from this video why it's so hard for doctors to figure out what is going on with this virus.  Between the variable ways this disease can present in different patients, and the different ways that organs can suffer damage, yeah, this is really, really really, complicated.
Are BLOOD CLOTS the reason why COVID19 patients are dying?
Video Link - https://youtu.be/qoJ4VDaGSfY
Dr. Mike Hansen, MD
Internal Medicine | Pulmonary Disease | Critical Care Medicine
Website: https://doctormikehansen.com/
IG: http://instagram.com/doctor.hansen/
#coronavirus #covid19 #covid_19</t>
  </si>
  <si>
    <t>A preliminary report on an antibody study of Utahns shows that Covid-19 was probably introduced to Utah in February and very few Utahns have been exposed to the virus.</t>
  </si>
  <si>
    <t>The White House is expected to name five vaccine candidates.</t>
  </si>
  <si>
    <t>Get Merch designed with ❤ from https://kgs.link/shop  
Join the Patreon Bird Army _xD83D__xDC27_ https://kgs.link/patreon  
▼▼ More infos and links are just a click away ▼▼
A huge thanks to the experts who helped us on short notice with the video. Especially “Our World in Data”, the online publication for research and data on the world’s largest problems – and how to make progress solving them. Check out their site. It also includes a constantly updated page on the Corona Pandemic.
In December 2019 the Chinese authorities notified the world that a virus was spreading through their communities. In the following months it spread to other countries, with cases doubling within days. This virus is the “Severe acute respiratory syndrome-related coronavirus 2”, that causes the disease called COVID19, and that everyone simply calls Coronavirus.
What actually happens when it infects a human and what should we all do?
Sources &amp; further reading: https://sites.google.com/view/sourcescorona 
OUR CHANNELS
▀▀▀▀▀▀▀▀▀▀▀▀▀▀▀▀▀▀▀▀▀▀▀▀▀▀
German Channel: https://kgs.link/youtubeDE by FUNK
Spanish Channel: https://kgs.link/youtubeES by WIX
HOW CAN YOU SUPPORT US?
▀▀▀▀▀▀▀▀▀▀▀▀▀▀▀▀▀▀▀▀▀▀▀▀▀▀
This is how we make our living and it would be a pleasure if you support us!
Get Merch designed with ❤ from https://kgs.link/shop  
Join the Patreon Bird Army _xD83D__xDC27_ https://kgs.link/patreon  
DISCUSSIONS &amp; SOCIAL MEDIA
▀▀▀▀▀▀▀▀▀▀▀▀▀▀▀▀▀▀▀▀▀▀▀▀▀▀
Reddit:            https://kgs.link/reddit
Instagram:     https://kgs.link/instragram
Twitter:           https://kgs.link/twitter
Facebook:      https://kgs.link/facebook
Discord:          https://kgs.link/discord
Newsletter:    https://kgs.link/newsletter
OUR VOICE
▀▀▀▀▀▀▀▀▀▀▀▀▀▀▀▀▀▀▀▀▀▀▀▀▀▀
The Kurzgesagt voice is from 
Steve Taylor:  https://kgs.link/youtube-voice
OUR MUSIC ♬♪
▀▀▀▀▀▀▀▀▀▀▀▀▀▀▀▀▀▀▀▀▀▀▀▀▀▀
700+ minutes of Kurzgesagt Soundtracks by Epic Mountain:
Spotify:            https://kgs.link/music-spotify
Soundcloud:   https://kgs.link/music-soundcloud
Bandcamp:     https://kgs.link/music-bandcamp
Youtube:          https://kgs.link/music-youtube
Facebook:       https://kgs.link/music-facebook
The Soundtrack of this video:
Soundcloud:   https://bit.ly/2WsTOFO
Bandcamp:     https://bit.ly/2IYT7vJ
_xD83D__xDC26__xD83D__xDC27__xD83D__xDC24_ PATREON BIRD ARMY _xD83D__xDC24__xD83D__xDC27__xD83D__xDC26_
▀▀▀▀▀▀▀▀▀▀▀▀▀▀▀▀▀▀▀▀▀▀▀▀▀▀
Many Thanks to our wonderful Patreons from http://kgs.link/patreon who support us every month and made this video possible:
Rick Pearson, Michał Nieć, Stepan Tikhonkikh, Yurii Smalko, Callum, Ghaith Tarawneh, Csilla Budai, Sebastian Sturgeon, Robin Wersich, Tom Craggs, TJ Vaught, Christoph Bühler, Jonathan Levin, Tomáš Mařík, william jager, Curtis Boortz, Thor-Rune Hansen, Ketill Gudmundsson, Chris Burris, Steffen Thurner, Jeremy Jay, Antreas Antoniou, Phoenyx Nist-Ferrare, Julianne Taylor, SleepyKid123, Mika Pagani, Corey Freeman, Alexander, Kesarchan, Julio Dieguez, Tommaso Javidi, Sergey, Oleksandr Shymanskyi, Max Madell, Dmitry Zaruta, Max Yiu, Martin Devreese, Davy Jones, Menno Amoraal, Leonardus Herryanto, Olivier Boulanger, Marcello Maiorana, Kristian Trenskow, Philipp Hofmann, Tobias Marstaller, Nick Giannetti, Stimson Snead, Xfennec, DONGWOOK KIM, Rogier Lagas, Marco Johne, Ghanem Al-mar, Jakub Jasaň, Isabelle Hallman, Cedric Ith, Guilhem Poy, Alexis, Reflective Desire, Wayne Liu, Jack Byass, Arjun Annapureddy, Ryan Yohnk, Tigo Middelkoop, KyZaK, william4916, BlueCheetah, Vitalii Lytvynov, Bennett Phillips, Jan Andrle, Akiro, Dragan Tutic, Lolita L., Noel Anderson, TheTonkiDonker, Galihad Chow, Alexis Vilmard, Rich, Sergey Chukanov, Omar Jenblat, Jan, Tyler Harley, Moly, Joseph Yannessa, Les Howard, Ross Burhans, Matt Herrington, Daniel Lucas, Lio, Peter Harrer, Kevin Minnebusch, TylerJ, Robin Hellsten, richard chalmers, Steve Avery, Pornthep Achatsachat, Cauterize1750, Christian Vandament, Lukas Praninskas, Akshaj Darbar, james unwin, AviatorGeek, Elizabeth Stevanovic, Donga, Jordan, shadowpuffin, Étienne Lévesque, Mloren, Michael Arndt, theLastDragon, Cody S., Jem Altieri, EsperSKS, Jake Gamer, Samantha Fisher, Lukas Halbeisen, cameron hartley, David Rangel, Juan Pablo, Billy Smith, Eric Berthe, airboume, Moji Hasan, Mark Mu, Brennan Ratican, Sam Fogarty, Vinsnt, Dmitrii Tretiakov, apple00juice, Agerius Na'Howul, Gabi ., Eric Kim, John Schafer, Jacob Sheffield, Sawamura, Ben Harrison, Jetbo, Revan, James Hatherell, istoOi, Blueberry Yoghurt, Tyler Jacobsen, Rilquer Mascarenhas, Cilestin, Lucia Fernandez, BluePlane, Sumedh Attarde, Dan M, Justin Galowich, Ben Thompson, Dominik Cekliniak, Amanda Lin, Lys, Joe Schafer, Gabeee, Arkfille, H.S. Crow, Moritz No., Dave Richmond, Theodoros Theodoridis, Misir Jafarov, Jordy Tjon, Cameron Geracitano, acrobat1 ., CrazyBatman, rag3047, Jan Thümmler, Rose Johnstone, Clark Kent, philbill07, Semerket, Steven Diaz, Chris M, Pierre Muller, Tyler Williams, Bernd Sing, Ettore Randazzo, Baraa Dajani,</t>
  </si>
  <si>
    <t>DAY TO DAY SYMPTOMS OF COVID-19 
Before proceeding, please note that this general overview is compiled for initial self-assessment only and may vary for each individual. If you're not feeling well, you should immediately consult a medical practitioner to have an accurate diagnosis and proper treatment of COVID-19.
The typical daily symptoms are concluded from the study of 138 patients at Zhongnan Hospital of Wuhan University and another study involving 135 patients from Jinyintan Hospital and 56 patients from Wuhan Pulmonary Hospital.
These symptoms are broken down into:
DAY 1 TO DAY 2
The beginning symptoms are similar to the common cold with a mild sore throat and neither having a fever nor feeling tired. Patients can still consume food and drink as usual.
DAY 3
The patient's throats start to feel a bit painful. Body temperature reads at around 36.5° celsius. Although it's uncommon, other symptoms like mild nausea, vomiting or mild diarrhea are possible to set in. 
DAY 4
Throat pain becomes more serious. Other symptoms like feeling weak and joint pain start to manifest. The patient may show a temperature reading between 36.5° to 37° celsius.
DAY 5 TO 6
Mild fever starts. The patients show a temperature reading above 37.2° celsius. The second most common symptom, dry cough, also appears. Dyspnea or breathing difficulty may occur occasionally. Most patients in this stage are easily feeling tired. Other symptoms remain about the same. These four symptoms are among the top five key indications of COVID-19 according to the final report of the initial outbreak conducted by the joint mission of China and WHO.
DAY 7
The patients that haven't started recovering by day 7 get more serious coughs and breathing difficulty. Fever can get higher up to 38° celsius. Patients may develop further headache and body pain or worsening diarrhea if there’s any. Many patients are admitted to the hospital at this stage. 
DAY 8 TO 9 
On the 8th day, the symptoms are likely to be worsened for the patient who has coexisting medical conditions. Severe shortness of breath becomes more frequent. Temperature reading goes well above 38°. In one of the studies, day 9 is the average time when Sepsis starts to affect 40% of the patients.
DAY 10 TO 11
Doctors are ordering imaging tests like chest x-ray to capture the severity of respiratory distress in patients. Patients are having loss of appetite and may be facing abdominal pain. The condition also needs immediate treatment in ICU. 
DAY 12 TO 14
For the survivors, the symptoms can be well-managed at this point. Fever tends to get better and breathing difficulties may start to cease on day 13. But Some patients may still be affected by mild cough even after hospital discharge.  
DAY 15 TO 16
Day 15 is the opposite condition for the rest of the minority patients . The fragile group must prepare for the possibility of acute cardiac injury or kidney injury. 
DAY 17 TO 19
COVID-19 fatality cases happen at around day 18. Before the time, vulnerable patients may develop a secondary infection caused by a new pathogen in the lower respiratory tract. The severe condition may then lead to a blood coagulation and ischemia.
DAY 20 TO 22
The surviving patients are recovered completely from the disease and are discharged from the hospital. 
Primary sources:
https://www.who.int/docs/default-source/coronaviruse/who-china-joint-mission-on-covid-19-final-report.pdf
https://www.thelancet.com/journals/lancet/article/PIIS0140-6736(20)30566-3/fulltext
https://jamanetwork.com/journals/jama/fullarticle/2761044
#Coronavirus #WuhanCoronavirus #SignsandSymptomsCoronavirus #StayHome</t>
  </si>
  <si>
    <t>Chinese scientists working on a COVID-19 vaccine have told Sky News they are "99%" sure it will be effective.
Sinovac, a Beijing-based biotech company, currently has its coronavirus vaccine in stage 2 trials, with more than 1,000 volunteers participating.
Our China Correspondent Tom Cheshire has visited the labs in Beijing and has this report.
SUBSCRIBE to our YouTube channel for more videos: http://www.youtube.com/skynews
Follow us on Twitter: https://twitter.com/skynews 
Like us on Facebook: https://www.facebook.com/skynews
Follow us on Instagram: https://www.instagram.com/skynews
For more content go to http://news.sky.com and download our apps: 
Apple: https://itunes.apple.com/gb/app/sky-news/id316391924?mt=8
Android https://play.google.com/store/apps/details?id=com.bskyb.skynews.android&amp;hl=en_GB
Sky News videos are now available in Spanish here/Los video de Sky News están disponibles en español aquí https://www.youtube.com/channel/UCzG5BnqHO8oNlrPDW9CYJog</t>
  </si>
  <si>
    <t>As science teams around the world race to develop a COVID-19 vaccine, one company is leading the way. CGTN reporter Liu Yang visited the world’s largest inactivated COVID-19 vaccine plant in Beijing. 
Subscribe to us on YouTube: https://goo.gl/lP12gA
Download our APP on Apple Store (iOS): https://itunes.apple.com/us/app/cctvnews-app/id922456579?l=zh&amp;ls=1&amp;mt=8
Download our APP on Google Play (Android): https://play.google.com/store/apps/details?id=com.imib.cctv
Follow us on:
Website: https://www.cgtn.com/
Facebook: https://www.facebook.com/ChinaGlobalTVNetwork/
Twitter: https://twitter.com/CGTNOfficial
Instagram: https://www.instagram.com/cgtn/?hl=zh-cn
Pinterest: https://www.pinterest.com/CGTNOfficial/
Weibo: http://weibo.com/cctvnewsbeijing
Douyin: http://v.douyin.com/aBbmNQ/</t>
  </si>
  <si>
    <t>NBC News NOW is live, reporting breaking news and developing stories in real time. We are on the scene, covering the most important stories of the day and taking deep dives on issues you care about.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#Coronavirus #COVID19 #StayHome
Full NBC News NOW Coverage - June 26 | NBC News Now</t>
  </si>
  <si>
    <t>Plain old soap and water absolutely annihilate coronavirus.
Support Vox by joining the Video Lab at http://vox.com/join or making a one-time contribution here: http://vox.com/contribute
You've been told a thousand times: wash your hands to stop the spread of COVID-19. But why does this work so well? It has to do with the way the soap molecules are able to absolutely demolish viruses, like the coronavirus. 
Read more on Vox: 
How does hand sanitizer compare to soap: http://bit.ly/2WqzEfo
Songs to wash your hands by: http://bit.ly/2Uj3T5g
How social distancing and “flattening the curve” works:  http://bit.ly/3aOlHM8
How does the coronavirus outbreak end? Your biggest questions answered: http://bit.ly/39YzlfG 
How has the coronavirus pandemic impacted your life? Share to help Vox’s reporting: http://bit.ly/2vBunqA
Vox.com is a news website that helps you cut through the noise and understand what's really driving the events in the headlines. Check out http://www.vox.com.
Watch our full video catalog: http://goo.gl/IZONyE
Follow Vox on Facebook: http://goo.gl/U2g06o
Or Twitter: http://goo.gl/XFrZ5H
Subscribe to our channel! http://goo.gl/0bsAjO</t>
  </si>
  <si>
    <t>Scientists across the world are working around the clock to develop a vaccine against the coronavirus - from China to the United States, Germany and Britain.
New technologies are helping speed things up and more than a hundred potential vaccines are in development. Some are already at an advanced stage and are being tested on volunteers. 
The pace may be unprecedented, but there's still a long way to go in the battle against the outbreak. We take a look at some of the methods, old and new, that scientists are using to get there.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#Vaccines #Covid19</t>
  </si>
  <si>
    <t>Subscribe now for more! http://bit.ly/1JM41yF
Leading oncologist Professor Karol Sikora raised eyebrows this week when he said a coronavirus vaccine might not be needed. Making the comments on Twitter, the Professor said Covid-19 could 'peter out' before a much-awaited vaccine arrives. But is he right? And what do the new testing rules mean for us?
Broadcast on 19/05/20
Like, follow and subscribe to This Morning!
Website: http://bit.ly/1MsreVq
YouTube: http://bit.ly/1BxNiLl
Facebook: http://on.fb.me/1FbXnjU
Twitter: http://bit.ly/1Bs1eI1
This Morning - every weekday on ITV and STV from 10:00am.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</si>
  <si>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CSU researchers are working on a coronavirus vaccine candidate – known as SolaVAX – which repurposes a commercial platform that is currently used to inactivate pathogens in blood transfusions. The strategy uses light and riboflavin to produce an inactivated virus which stimulates a person’s immune system to fight the virus.
Full story:
https://source.colostate.edu/csu-secures-award-from-u-s-government-for-development-of-solavax-vaccine-manufacturing-process-for-sars-cov-2/</t>
  </si>
  <si>
    <t>Racial inequality runs deep in healthcare and has pervasive, devastating outcomes. Because our expertise here at Healthcare Triage is in health, that is where we feel we are best suited to shine a light on racial disparities. What is happening in the streets of our country right now is somewhat outside of the scope of our channel, our expertise, and our personal experiences. Thus, we feel it is most appropriate to stay out of that space so that more relevant voices may fill it. Because the pandemic is ongoing, we’ve chosen to continue providing information on COVID-19 with the understanding that our content is not a priority right now.
So, there's been a lot of talk about a coronavirus vaccine lately, for obvious reasons. How are vaccines even developed? What's happening with potential Coronavirus vaccines? How is the process different from past vaccines?
Related HCT episodes:
Coronavirus and Immunity, MIS, and Hydroxychloroquine: COVID News Roundup 5-27-2020: https://youtu.be/rKVOaKLepQE
Indiana's COVID-19 Testing Study and What it Means for Reopening: https://youtu.be/4XWbBTwAsUM
Be sure to check out our podcast! 
https://www.youtube.com/playlist?list=PLkfBg8ML-gInFaYyYhKLBp2u7h5IojTw4
Other Healthcare Triage Links:
1. Support the channel on Patreon: http://vid.io/xqXr 
2. Check out our Facebook page: http://goo.gl/LnOq5z
3. We still have merchandise available at http://www.hctmerch.com
4. Aaron's book "The Bad Food Bible: How and Why to Eat Sinfully" is available wherever books are sold, such as Amazon: http://amzn.to/2hGvhKw
Credits:
John Green -- Executive Producer
Stan Muller -- Director, Producer
Aaron Carroll -- Writer
Mark Olsen – Art Director
Tiffany Doherty -- Writer and Script Editor
Meredith Danko – Social Media
#coronavirus #covid19 #healthcaretriage</t>
  </si>
  <si>
    <t>Jun.01 -- Kirill Dmitriev, chief executive officer at Russian Direct Investment Fund, discusses the coronavirus drug developed with the sovereign wealth fund’s backing, U.S.-Russia relations, and outlook for the ruble. He speaks with Bloomberg's Taylor Riggs on "Bloomberg Markets."</t>
  </si>
  <si>
    <t>Making sense of the coronavirus death toll.
Subscribe to our channel! http://goo.gl/0bsAjO
Sources:
https://www.nytimes.com/interactive/2020/04/21/world/coronavirus-missing-deaths.html
https://ourworldindata.org/mortality-risk-covid
https://www.governor.ny.gov/news/amid-ongoing-covid-19-pandemic-governor-cuomo-launches-new-initiative-expand-access-testing-low
https://www1.nyc.gov/site/doh/covid/covid-19-data.page
There are two ways you could assess the deadliness of a crisis like the novel coronavirus pandemic. One is to ask, “How many people are dying?” And the other is to ask, “What is the risk of dying if you contract the virus?” For months, public health officials were unable to fully answer either of those questions.
Now, with death certificates and antibody-survey data coming in, we’re slowly getting a better picture of Covid-19 mortality. As we explain in this video, that picture is of a disease that’s killing more people than we knew, but a lower percentage of those infected. Most places are looking at a higher death count and lower death rate than previously reported.
But the biggest challenge in assessing a tragedy like this is that we’re still inside it — and nobody can predict how many lives will be lost before it ends.
Vox.com is a news website that helps you cut through the noise and understand what's really driving the events in the headlines. Check out http://www.vox.com.
Watch our full video catalog: http://goo.gl/IZONyE
Follow Vox on Facebook: http://goo.gl/U2g06o
Or Twitter: http://goo.gl/XFrZ5H</t>
  </si>
  <si>
    <t>December 2019 in Wuhan, central China.  The epicentre of a dangerous new viral outbreak – Covid-19. In a space of just three months, a global pandemic is declared. Healthcare systems are overwhelmed, economies are disrupted and governments impose lockdowns to contain the spread of the virus. Where did this novel coronavirus come from? In what way was it manifesting itself in humans? How was it being spread?  We uncover the vital questions scientists ask as they grapple to understand this new virus, and its potential threat.  We also speak to the scientists and experts leading the fight against this latest pandemic to develop vaccines and treatments in a bid to halt the coronavirus’ relentless spread
For more, SUBSCRIBE to CNA INSIDER! 
https://cna.asia/insideryoutubesub
========================================
#CNAInsider #CNAInsiderDocumentaries 
Follow CNA INSIDER on:
Instagram: https://www.instagram.com/cnainsider/
Facebook: https://www.facebook.com/cnainsider/
Website: https://cna.asia/cnainsider</t>
  </si>
  <si>
    <t>As scientists race to find a coronavirus vaccine, some researchers are pinning their hopes on vaccines that already exist: The BCG vaccine. It's traditionally used against tuberculosis and has been shown to also protect against a range of other diseases. Researchers are now hoping that Covid-19 could be one of them. In this video we ask: To what extent could BCG tuberculosis vaccines be used against the new coronavirus?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#Vaccine</t>
  </si>
  <si>
    <t>PM Lee Hsien Loong’s May Day Message 2020 was broadcast on 30 April 2020. PM Lee spoke in English, Malay, and Chinese. Due to COVID-19, the May Day Rally event was cancelled.
The transcripts are available on the PMO website (www.pmo.gov.sg).</t>
  </si>
  <si>
    <t>Prime Minister Lee Hsien Loong will kick off a series of broadcasts by ministers at 7.30pm tonight (June 7). For the next two weeks, several members of his Cabinet will talk about what the future looks like for Singapore and their plans to see the country through the challenges caused by Covid-19.
The national broadcasts will start from 7.30pm on the following dates:
June 7: Prime Minister Lee Hsien Loong to speak on "Overcoming the crisis of a generation"
June 9: Minister for National Development and Second Minister for Finance Lawrence Wong on "Living with Covid-19"
June 11: Senior Minister and Coordinating Minister for National Security Teo Chee Hean on "Resilience in a changing external environment"
June 14: Minister for Trade and Industry Chan Chun Sing on "Making a living in a Covid-19 world"
June 17: Senior Minister and Coordinating Minister for Social Policies Tharman Shanmugaratnam on "A stronger and more cohesive society"
June 20: Deputy Prime Minister and Minister for Finance Heng Swee Keat on "Emerging stronger together"
Read the full story: https://str.sg/JPgi
For more details on the national broadcasts, go to: https://str.sg/JPGy
#thebigstory #coronavirus #covid19</t>
  </si>
  <si>
    <t>PM Lee Hsien Loong was interviewed by Mr David Rubenstein, President of the Economic Club of Washington, D.C., on 23 October 2017.
The transcript of the interview is available on the PMO website: https://on.pmo.sg/2i5fdih
PM Lee was on an Official Working Visit to Washington, D.C. from 21 to 26 October 2017.
(PMO Video by Chiez How &amp; Alex Qiu)</t>
  </si>
  <si>
    <t>The Singapore General Elections are looming and the latest budget delivered a couple of days ago show the PAP desperately juggling their need to sweeten the ground they have soured as well as patching up their rear-view mirror response to Covid-19.
After acting so late to the Pandemic and thus causing Singapore to endure an extended lock-down, they are now having to dig deep into our reserves to stabilise the economy.
In this video, Party Leader of Peoples Voice Lim Tean responds to the budget, on how the figures don't quite add up, a large bulk is being held in 'contingency' and there are no fresh or new ideas about how to stimulate the economy. More importantly Singaporeans are cash-strapped, after only receiving a one-time $600 payout back in April, Lim Tean advises that a second payout of $1,000 is given to each citizen. This would still be less than other countries in our region and beyond but would go a long way to alleviate the extraordinary hardship people are experiencing.
Lim Tean also touches upon the Peoples Party manifesto point of freezing all S-passes for a time and dramatically reducing the amount of employment passes offered to foreigners.  
"It is time to take back our jobs! No decent govt will allow job opportunities to go to a foreigner ahead of it's own citizens".
In order to stimulate our economy we need to get our people back to work, back to the jobs that exist in our country and not hand them over to the lowest bidder.
www.PeoplesPartySg.com</t>
  </si>
  <si>
    <t>President Halimah Yacob's speech at the Inauguration of the 8th President of Singapore on 14 September 2017.</t>
  </si>
  <si>
    <t>PM Lee Hsien Loong recorded a video message for the World Health Organization Western Pacific Regional Office, for their virtual meeting of Health Ministers in the Western Pacific Region to “Stand in Solidarity to Combat COVID-19", on 8 April 2020.</t>
  </si>
  <si>
    <t>Prime Minister Lee Hsien Loong said Singapore is building up its vaccine manufacturing capacity. In a video message to world leaders at The Global Vaccine Summit, Mr Lee also called for coordinated effort to tackle the COVID-19 pandemic. Singapore has also contributed about US$13 million towards international efforts to fight COVID-19. Mr Lee adds that researchers in Singapore have developed and deployed test kits to over 20 countries.  
Subscribe to our channel here: https://cna.asia/youtubesub 
Subscribe to our news service on Telegram: https://cna.asia/telegram
Follow us:
CNA: https://cna.asia
CNA Lifestyle: http://www.cnalifestyle.com 
Facebook: https://www.facebook.com/channelnewsasia
Instagram: https://www.instagram.com/channelnewsasia
Twitter: https://www.twitter.com/channelnewsasia</t>
  </si>
  <si>
    <t>Speaking in a session at the World Economic Forum Annual Meeting in Davos, Switzerland, Singapore Prime Minister Lee Hsien Loong gave his thoughts on the future of smart nations, leadership in the Fourth Industrial Revolution and how technology will reshape the ASEAN region. He was speaking with WEF president Børge Brende.
(Video: World Economic Forum)
#Singapore #WorldEconomicForum
Subscribe to our channel here: https://cna.asia/youtubesub 
Subscribe to our news service on Telegram: https://cna.asia/telegram
Follow us:
CNA: https://cna.asia
CNA Lifestyle: http://www.cnalifestyle.com 
Facebook: https://www.facebook.com/channelnewsasia
Instagram: https://www.instagram.com/channelnewsasia
Twitter: https://www.twitter.com/channelnewsasia</t>
  </si>
  <si>
    <t>Global Vaccine Summit 2020
The UK-hosted Global Vaccine Summit heralds a new era of global health collaboration as world leaders show overwhelming commitment to equitable immunisation coverage and global health security in the face of the COVID-19 pandemic. The virtual event raised US$ 8.8 billion from 32 donor governments and 12 foundations, corporations and organisations to immunise 300 million children and support the global fight against COVID-19.
Subscribe for more videos: http://bit.ly/2VBpGY7
Follow Gavi on social media:
Twitter: https://twitter.com/gavi
Facebook: https://www.facebook.com/gavi
Instagram: https://www.instagram.com/gavialliance
LinkedIn: https://www.linkedin.com/company/gavi
For more about Gavi's work, visit: http://www.gavi.org</t>
  </si>
  <si>
    <t>PM Lee Hsien Loong’s speech, “Overcoming The Crisis of a Generation”, delivered on 7 June 2020 as part of a National Broadcast series. He spoke in English, Malay, and Chinese.</t>
  </si>
  <si>
    <t>Singapore’s Prime Minister Lee Hsien Loong and United States President Donald Trump meet in New York on Monday (Sep 23) and sign an agreement to renew a Memorandum of Understanding on the United States’ use of military facilities in Singapore.
For more: https://cna.asia/2kDDIZg
(Video: Reuters)
Subscribe to our channel here: https://cna.asia/youtubesub 
Subscribe to our news service on Telegram: https://cna.asia/telegram
Follow us:
CNA: https://cna.asia
CNA Lifestyle: http://www.cnalifestyle.com 
Facebook: https://www.facebook.com/channelnewsasia
Instagram: https://www.instagram.com/channelnewsasia
Twitter: https://www.twitter.com/channelnewsasia</t>
  </si>
  <si>
    <t>PM Lee Hsien Loong was speaking at the Meeting of Minds dialogue at the 19th Forbes Global CEO Conference 2019 on 16 October 2019. The dialogue was moderated by Editor-in-Chief of Forbes magazine, Mr Steve Forbes.
(PMO Video by Alex Qiu, Anthony Chia and Chiez How)</t>
  </si>
  <si>
    <t>PM Lee Hsien Loong thanking foreign workers for their contributions in his address on the COVID-19 situation in Singapore on 10 April 2020.</t>
  </si>
  <si>
    <t>NTU Singapore honours Mr Lee Kuan Yew who took a personal interest in the growth and development of the University.  His belief in the importance of education in nation-building can be seen through the many dialogues he had with NTU students, captured in this tribute video.</t>
  </si>
  <si>
    <t>In a keynote session at the INSEAD Leadership Summit in Asia, the founder of modern Singapore, Lee Kuan Yew, revealed that during a meeting with Washington aides to presidential candidates, he was asked whether the US should regard China as a friend or foe.
His reply: "Neither at the moment." He then added that in 20 years' time, the US will be dealing with a different set of leaders.</t>
  </si>
  <si>
    <t>Prime Minister Lee Hsien Loong in an interview with Singapore journalists on 14 January 2015. Here, he shares his thoughts on social and economic developments in Hong Kong and Taiwan, and how they contrast with the situation in Singapore.</t>
  </si>
  <si>
    <t>Singapore Prime Minister Lee Hsien Loong talks with Bloomberg Editor-in-Chief John Micklethwait at the Bloomberg New Economy Forum in Singapore on Nov. 6, 2018.</t>
  </si>
  <si>
    <t>Medication and vaccination against COVID-19 is important, and so is a functioning immune system. The latter is often times overlooked when it comes to protecting against the virus. A healthy immune system is always important and it might just save your life now during the pandemic. The body’s various defensive mechanisms protect us from pathogens like bacteria and viruses. Our skin, bone marrow and saliva as well as a host of immune cells contribute to a highly complex system. What exactly does our body need to be able to defend itself well against pathogens?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#ImmuneSystem</t>
  </si>
  <si>
    <t>COVID-19 is an unprecedented global health crisis in many ways. But the emergence of the
disease is also part of an alarming pattern. Scientists say the number of new infectious diseases in humans like SARS, MERS and
COVID-19 has risen dramatically over the last decades.A study showed that the number of emerging infectious diseases in humans almost
quadrupled between 1940 and 2000. And it’s not just that there are more types of disease. The total number of outbreaks is rising
too. In fact, the total number of outbreaks of all diseases, both old and new, has roughly
tripled since 1980. So what is causing the rise of new infectious diseases in our world today? And how do
humans contribute?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#CoronaUpdate</t>
  </si>
  <si>
    <t>Vladimir Putin claims Russia has covid-19 “under total control”, but whistleblowers say the official figures are fabricated. As well as leading to many more deaths, this could dent Mr Putin’s popularity for years to come. Read more here: https://econ.st/2z4BJV0
Click here to subscribe to The Economist on YouTube: https://econ.st/2xvTKdy 
Further reading:
Find The Economist’s most recent coverage of covid-19 here: https://econ.st/2QXX9sJ 
Sign up to The Economist’s daily newsletter to keep up to date with our latest covid-19 coverage: https://econ.trib.al/YD53WI6 
Read our leader on Putin’s term extension: https://econ.st/2z0jz6O 
Read our article on Russia’s economy during covid-19: https://econ.st/3gUVJuw</t>
  </si>
  <si>
    <t>In the midst of the Coronavirus pandemic, the world could soon face a new geopolitical threat: the United States and China descending into a new kind of Cold War. 
Why is this happening? What are the scenarios? And most importantly, what can and should the rest of the world do about it? 
DW’s Richard Walker explores the emerging crisis between the two biggest powers on earth with prominent experts from the US, Europe, China and Australia.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#USA #China</t>
  </si>
  <si>
    <t>Chocolate reduces stress. Fish stimulates the brain. Is there any truth to such popular beliefs? The findings of researchers around the world say yes: It appears we really are what we eat.
A study in a British prison found that inmates who took vitamin supplements were less prone to violent behavior. And in Germany, a psychologist at the University of Lübeck has shown that social behavior is influenced by the ingredients consumed at breakfast. But what really happens in the brain when we opt for honey instead of jam, and fish rather than sausage? Scientists around the world are trying to find out. Neuro-nutrition is the name of an interdisciplinary research field that investigates the impact of nutrition on brain health. Experiments on rats and flies offer new insight into the effects of our eating habits. When laboratory rats are fed a diet of junk food, the result is not just obesity. The menu also has a direct influence on their memory performance. The role of the intestinal flora has been known for some time, but scientists are currently discovering other relationships. So-called "brain food" for example: The Mediterranean diet that’s based on vegetables and fish is said to provide the best nutrition for small grey cells. Omega-3 fatty acids, which are found in fish, for example, protect the nerve cells and are indispensable for the development of the brain - because the brain is also what it eats!
--------------------------------------------------------------------
DW Documentary gives you knowledge beyond the headlines. Watch high-class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Subscribe to: 
DW Documentary: https://www.youtube.com/channel/UCW39zufHfsuGgpLviKh297Q?sub_confirmation=1#
DW Documental (Spanish): https://www.youtube.com/dwdocumental
DW Documentary وثائقية دي دبليو: (Arabic): https://www.youtube.com/dwdocarabia
For more visit:
http://www.dw.com/en/tv/docfilm/s-3610
Instagram:
https://www.instagram.com/dwdocumentary/
Facebook:
https://www.facebook.com/dw.stories</t>
  </si>
  <si>
    <t>Aerosols are tiny particles that can carry the coronavirus. They float on air currents and it can take them hours to settle.
The mouth of a coronavirus carrier, be it by coughing, exhaling, speaking or singing sends forth a shower of larger droplets and tiny aerosols. 
To be able to imagine aerosols, experts say to think of cigarette smoke, spreading around a person like a cloud, the closer the smoker, the denser the cloud. So how can you protect yourself?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#Aerosols #Covid19</t>
  </si>
  <si>
    <t>The coronavirus has claimed the lives of hundreds of thousands of people around the world. A far greater number though have survived. Many former COVID-19 patients grapple with lingering effects long after leaving the hospital. For some, it's constant exhaustion, For others, heart palpitations or even memory loss. We are looking at the long-term health consequences of COVID-19.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#health</t>
  </si>
  <si>
    <t>In Europe, coronavirus case numbers are falling. But we don't know for sure if the warm weather is killing off the virus, or if it's just taking a break. We shouldn't take chances. But we could learn from the sun and it's powerful UV light. Especially UVC-light can kill 99% of all  pathogens in the air and is very effective at disinfecting surfaces.
UVC light is filtered out by the Earth’s atmosphere and therefor has to be generated artificially. Doctors advise against exposing yourself to direct UV-C light. It’s the most powerful level of ultra-violet light there is, and is especially dangerous for the skin and eyes. But at a time where there's still no cure or vaccine for Covid-19, can UV light illuminate a way out of a global pandemic?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#UVClight</t>
  </si>
  <si>
    <t>During the coronavirus lockdowns, air traffic was largely grounded. Now it is gradually starting up again, but there's a long way to go - also in terms of safety measures.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#Flights #Covid19</t>
  </si>
  <si>
    <t>DW News goes deep beneath the surface, providing the key stories from Europe and around the world.
Exciting reports and interviews from the worlds of politics, business, sports, culture and social media are presented by our DW anchors in 15-, 30- and 60-minute shows.
Correspondents on the ground and experts in the studio deliver detailed insights and analysis of issues that affect our viewers around the world. We combine our expertise on Germany and Europe with a special interest in Africa and Asia while keeping track of stories from the rest of the world.
Informative, entertaining and up-to-date – DW News, connecting the dots for our viewers across the globe.
Deutsche Welle is Germany’s international broadcaster. We convey a comprehensive image of Germany, report events and developments, incorporate German and other perspectives in a journalistically independent manner. By doing so we promote understanding between cultures and peoples.
#dwNews #LiveNews #NewsToday</t>
  </si>
  <si>
    <t>The Cambridge biotech company will use 30,000 volunteers in its test.</t>
  </si>
  <si>
    <t>In 1918, the world got affected by influenza sweeping across nations. What measures did we take to slow its advance? What did we fail to implement? How did we learn from it? And how does it compare to the current pandemic? Let’s get into it.
Sources:
[Stay Informed]
https://www.who.int/emergencies/diseases/novel-coronavirus-2019
https://www.cdc.gov/coronavirus/2019-ncov/index.html
https://www.nhs.uk/conditions/coronavirus-covid-19/
https://www.canada.ca/en/public-health/services/diseases/coronavirus-disease-covid-19.html
[How Severe Was the 1918 Influenza?]
https://academic.oup.com/aje/article/187/12/2561/5092383
http://www.abc.net.au/science/articles/2008/01/29/2149185.htm
https://www.flickr.com/photos/medicalmuseum/5857153474
https://youtu.be/VCFJPDqKPgc
https://youtu.be/Nw0wGaVCWiQ
https://cdn.dribbble.com/users/244516/screenshots/2752009/benjen___29.gif
https://youtu.be/7tR8CWidq4Q
https://youtu.be/YHNyo-IF3-8
https://youtu.be/N9LC-3ZKiok
https://youtu.be/DZD95Lp7ikU
https://youtu.be/Gd6aLnPHqeE
https://youtu.be/8FDIW-GzucY
https://youtu.be/XrgIXVKmcZY
https://youtu.be/o0u4M6vppCI
https://youtu.be/n6vsxIkZepY
[Governments' Response to the Spanish Flu]
https://www.nature.com/articles/459324a?draft=collection
https://thehill.com/changing-america/opinion/488429-the-1918-spanish-flu-ravaged-the-world-what-can-it-teach-us-about
https://bit.ly/3eshhgA
https://www.livescience.com/spanish-flu.html
https://www.history.com/news/why-was-it-called-the-spanish-flu
https://www.nationalgeographic.com/news/2014/1/140123-spanish-flu-1918-china-origins-pandemic-science-health/
http://www.johnmbarry.com/images/barry_credit_ken_goldstein-large.jpg
https://youtu.be/-dCI3E7IgNg
https://youtu.be/VUYr4IzWzPQ
https://media.giphy.com/media/5UxHAAXShSunUGIyBo/giphy.mp4
https://youtu.be/vmi-MtP969M
https://youtu.be/XftBhhSFazo
https://i2.wp.com/unwritten-record.blogs.archives.gov/wp-content/uploads/2018/03/165-ww-269b-026.jpg
https://media.giphy.com/media/p35XvxQf7kJk4/giphy.mp4
https://youtu.be/sx0sfphrioY
https://youtu.be/xyv6K8CsYOg
https://youtu.be/dATZsuPdOnM
https://pbs.twimg.com/profile_images/994622260861267969/1E6eTgXU.jpg
https://youtu.be/YEfY1UzLaag
https://youtu.be/P8X1zEHDVJs
https://youtu.be/M4ONq7jNShU
https://www.nih.gov/sites/default/files/styles/featured_media_breakpoint-medium/public/about-nih/almanac/rosenau_0.jpg 
https://media.giphy.com/media/ISOckXUybVfQ4/giphy.mp4 
https://youtu.be/COJCS0et44o
https://youtu.be/7XQ_o-rYl-U
https://youtu.be/8Sv0RkLlaEE
https://media.giphy.com/media/AFgyryneFiZLEHfXug/giphy.mp4
https://giphy.com/gifs/looneytunes-loop-debate-eunDUhLbOz1vEZfFXl
https://youtu.be/4H2S97URb_w
https://youtu.be/_066dEkycr4
https://media.giphy.com/media/IbmS6XKR5fTVchlxcN/giphy.mp4
https://youtu.be/VCFJPDqKPgc
https://youtu.be/DJ9uHE6aZoU
https://youtu.be/QuIq_YazmQc
https://youtu.be/I6Fqy0GLULU
https://giphy.com/foxadhd/
[Case Fatality Rate Comparisons]
https://academic.oup.com/jid/article/196/11/1717/886065
https://www.ncbi.nlm.nih.gov/pubmed/17330793
https://academic.oup.com/cid/article/43/6/748/327458
https://www.ncbi.nlm.nih.gov/pmc/articles/PMC3734171/
https://cnb.cx/2V94pV4
https://bit.ly/2xx1Rao
https://bit.ly/3a9aZiF
https://bit.ly/2K73uOJ
https://giphy.com/gifs/earth-spinning-globe-l3V0megwbBeETMgZa
https://giphy.com/gifs/perfectloops-bart-simpson-guXnEFnoLJTTa
https://youtu.be/Zg-GHmvtIeI
https://youtu.be/RWi6e-ODHzc
https://giphy.com/gifs/world-globe-UOdoMz3baCENO/media
https://youtu.be/hecXupPpE9o
https://youtu.be/LF__QeackMc
https://youtu.be/SVNilOwikJ8
https://youtu.be/YUggauZ3ffE
https://youtu.be/fBEEFV1IZ_k
https://giphy.com/gifs/mushroommovie-unnoticed-unimportant-mG7xN3NU7WeUUGiKjM
https://youtu.be/Ecbjqk5COY0
[What to do - Pandemics &amp; Outbreaks]
https://bit.ly/2VdtPRz
https://youtu.be/GlCFPo6YYbU
https://youtu.be/Qynh65H7eNo
https://youtu.be/bUYJt4sLZ2g
https://giphy.com/gifs/wonderlandbeautyparlor-isolation-quarantine-stayhome-d89BjPGXijE0imFOxA 
https://youtu.be/jUmSiLXesKI
https://youtu.be/_J60fQr0GWo
https://giphy.com/gifs/biology-heartbeat-science-art-oStBM1ANst52U
https://giphy.com/gifs/system-immune-staphylococcus-10J03NWquceLKg
https://giphy.com/gifs/chemistry-science-experiment-no-idea-what-im-doing-ZcWr9HfbSQP0T5zH7i
https://youtu.be/MUirAUBTJp4
https://youtu.be/fCMacZNMYyc&amp;feature=youtu.be&amp;t=191
https://youtu.be/G3Hzao4sjNs
https://youtu.be/588R1ligcyA
https://youtu.be/EJ5nim70atE
https://youtu.be/QgHATo0d3YA
https://giphy.com/jjjjjohn/</t>
  </si>
  <si>
    <t>Around Australia, coronavirus restrictions have started to loosen. Our cities and towns are showing more signs of life than they have in months. Despite this, both state and federal governments and the health authorities insist that without an effective vaccine or treatment for coronavirus, life cannot fully return to normal.
Australian scientists are at the forefront of this hunt for a vaccine, working around the clock on several promising contenders. The stakes are high, and the degree of difficulty is intense.
While their efforts showcase the best that science has to offer, behind their impressive endeavours is also warnings of missed opportunities and a lack of preparedness. Many had been warning of a likely pandemic for years, only to see resources and efforts caught up in a funding cycle described as ‘panic and neglect.’ 
Four Corners takes you into their world, where scientists face extraordinary scientific hurdles as well as extreme moral and ethical dilemmas.
Read more: https://ab.co/30ixxMB
_________
Watch more Four Corners investigations here: https://bit.ly/2JbpMkf 
You can also like us on Facebook: https://www.facebook.com/abc4corners/ 
Follow us on Twitter: https://twitter.com/4corners 
And sign up to our newsletter: https://www.abc.net.au/4corners/newsl...
_____________</t>
  </si>
  <si>
    <t>In December 2019, the Ovation of the Seas left Sydney bound for a 12-day trans-Tasman cruise to New Zealand.
The luxury holiday promised great entertainment and the opportunity to get up close to the country’s renowned natural beauty.
But things quickly turned nightmarish when a group of day-trippers and cruise ship passengers were trapped in the middle of a volcanic eruption. 
47 people were inside the White Island volcano crater when it erupted.
21 were killed.
19 of them were from the Ovation of the Seas.
Four Corners investigates what tourists understood about the dangers of visiting New Zealand’s most active volcano and whether more could have been done to prevent the tragedy.
Read more: https://ab.co/2Y9zqKI
_________
Watch more Four Corners investigations here: https://bit.ly/2JbpMkf 
You can also like us on Facebook: https://www.facebook.com/abc4corners/ 
Follow us on Twitter: https://twitter.com/4corners 
And sign up to our newsletter: https://www.abc.net.au/4corners/newsl...
_____________</t>
  </si>
  <si>
    <t>Subscribe here: http://9Soci.al/chmP50wA97J Full Episodes: https://9now.app.link/uNP4qBkmN6 | The Long Way Home (2017) 
Joel De Carteret’s remarkable journey proves the power of love can overcome truly impossible odds. There’s an extraordinary ending to this story, but it begins with heartbreak. As a five year old Joel got hopelessly lost from his mother when he wandered away from the family home and into a bustling city market in the Philippines. He searched and searched but couldn’t find her, and eventually was taken to an orphanage. Imagine his despair as for the next 18 months this little boy contemplated a future with little hope. But Joel is plucky and also lucky.  He’s adopted by a caring and loving Australian family. He goes on to lead a happy and successful life here, except something is always missing. Six months ago, 30 years after getting lost, Joel De Carteret couldn't ignore the pain any longer. He had to find his birth mother. But in a country of one hundred million, where would he even start to look?
Reporter: Liam Bartlett
Producer: Jo Townsend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Sarah Abo look past the headlines because there is always a bigger picture. Sundays are for 60 Minutes.
#60MinutesAustralia</t>
  </si>
  <si>
    <t>Long before Steve Irwin and decades before the Bush Tucker Man, The Leyland Brothers epitomised outback filmmaking. 
In this 2015 Australian Story documentary, surviving Leyland, Mal, reveals the inside story of their rise and fall. And for the first time he talks about why they went their separate ways.
Watch more Australian Story documentaries here: https://bit.ly/36ABH2J 
#AustralianStory #TheLeylandBrothers #AsktheLeylandBrothers #AustralianTV
___________________________________________
Watch more Australian Story documentaries here: https://bit.ly/36ABH2J 
You can also like us on Facebook: https://www.facebook.com/ABCAustralia.
Follow us on Twitter: https://twitter.com/AustralianStory 
About Australian Story: Putting the "real" back into reality television, Australian Story is an award-winning documentary series with no narrator and no agendas — just authentic stories told entirely in people's own words. Take 30 minutes to immerse yourself in the life of an extraordinary Australian. They're sometimes high profile, sometimes controversial, but always compelling. It’s television guaranteed to make you think and feel. New episodes are available every Monday.</t>
  </si>
  <si>
    <t>How high will the oceans rise due to climate change? The projections are the subject of dispute, with scientists continually correcting their estimates upward. Is this just panic-mongering or are these scenarios within the realm of possibility?
Can we make any reliable predictions about the world’s oceans? If all the ice in Antarctica and Greenland were to melt, sea levels would rise by more than 66 meters. The consequences for coastal populations are gradually becoming clear. By 2100, coastlines around the world could change radically. The research being conducted by marine scientists will decide how affected regions can prepare for the disaster on the horizon. At what point will governments have to consider evacuating areas on the basis of cost-damage analyses? It is a process that has already begun in places like the United Kingdom.
--------------------------------------------------------------------
DW Documentary gives you knowledge beyond the headlines. Watch high-class documentaries from German broadcasters and international production companies. Meet intriguing people, travel to distant lands, get a look behind the complexities of daily life and build a deeper understanding of current affairs and global events. Subscribe and explore the world around you with DW Documentary.
Subscribe to: 
DW Documentary: https://www.youtube.com/channel/UCW39zufHfsuGgpLviKh297Q?sub_confirmation=1#
DW Documental (Spanish): https://www.youtube.com/dwdocumental
DW Documentary وثائقية دي دبليو: (Arabic): https://www.youtube.com/dwdocarabia
For more visit:
http://www.dw.com/en/tv/docfilm/s-3610
Instagram:
https://www.instagram.com/dwdocumentary/
Facebook:
https://www.facebook.com/dw.stories
DW netiquette policy: https://p.dw.com/p/MF1G</t>
  </si>
  <si>
    <t>In this second installment of our “The Science Behind the Coronavirus” series, Dr. Patrick Soon-Shiong, the executive chairman of the Los Angeles Times, continues his examination of the ways the scientific community is taking up the battle against COVID-19.
Soon-Shiong (MD, MBBCh, MSc, FRCS (C), FACS) begins his presentation with a warning: The virus is continuing to mutate and is here to stay. But, Soon-Shiong adds, there is hope. Over an introduction and six parts, Soon-Shiong explains how scientists around the world are considering treating patients suffering from stages of COVID-19. 
Finally, Soon-Shiong breaks down the medical concepts researchers are pondering as they search for a vaccine. Soon-Shiong is a surgeon and scientist who has spent his career studying the human immune system to fight cancer and infectious diseases. He is also the chairman and chief executive of NantWorks and the owner of or investor in a number of companies, including ImmunityBio and NantKwest, which are currently researching immunotherapies for COVID-19.
SUBSCRIBE FOR MORE VIDEOS AND NEWS
http://www.youtube.com/subscription_center?add_user=losangelestimes
https://www.latimes.com/subscription
LET’S CONNECT:
Facebook ► https://www.facebook.com/latimes
Twitter ► https://twitter.com/LATimes
Instagram ► https://www.instagram.com/latimes</t>
  </si>
  <si>
    <t>As the coronavirus continues to spread around the globe, companies and academic labs are racing to develop a vaccine that would help society get back to normal. But there could also be costs to moving too quickly. WSJ’s Daniela Hernandez explains. Photo illustration: Laura Kammermann
More from the Wall Street Journal:
Visit WSJ.com: http://www.wsj.com
Visit the WSJ Video Center: https://wsj.com/video
On Facebook: https://www.facebook.com/pg/wsj/videos/
On Twitter: https://twitter.com/WSJ
On Snapchat: https://on.wsj.com/2ratjSM
#WSJ #Coronavirus #Vaccine</t>
  </si>
  <si>
    <t>The outbreak of coronavirus in Australia has created a public health emergency like no other.  It’s also unleashed a financial wrecking ball right through the Australian economy.
In just a few short weeks an alarming number of Australians found themselves without work. Businesses, even whole industries, have shut down pushing the federal government into uncharted territory. 
Featuring candid interviews with those crucial to the decision making and a rare interview with the Governor of the Reserve Bank, Four Corners investigates the political scramble to contain the enormous financial damage caused by COVID-19.
Read more: https://www.abc.net.au/news/2020-04-20/four-corners-coronavirus-economy-analysis-david-speers/12150596
_________
Watch more Four Corners investigations here: https://bit.ly/2JbpMkf 
You can also like us on Facebook: https://www.facebook.com/abc4corners/ 
Follow us on Twitter: https://twitter.com/4corners 
And sign up to our newsletter: https://www.abc.net.au/4corners/newsl...
_____________</t>
  </si>
  <si>
    <t>Indonesia is among the last countries in Asia to have acknowledged the existence of COVID-19 cases in the country. It's now racing against time to bring the number of infections and fatalities down. Despite its initial slow response to the coronavirus threat, Indonesia has been ramping up its fight against COVID-19. But there's concern that the move may have come too little too late. Are the Indonesian healthcare facilities well equipped to deal with the rising number of infected cases? And can the authorities control the spread of the virus across its vast archipelago?
For more great INSIGHT into the top issues affecting Asia: https://www.youtube.com/playlist?list=PLkMf14VQEvTYAVU8dsviDcQ4WbQ6D66T6
For more, SUBSCRIBE to CNA INSIDER! 
https://cna.asia/insideryoutubesub
==========================
ABOUT THE SHOW: Insight investigates and analyses topical issues that impact Asia and the rest of the world. 
==========================
#CNAInsider #Insight</t>
  </si>
  <si>
    <t>Pushing opioids. Bribing doctors. Making millions. FRONTLINE and the Financial Times investigate how Insys Therapeutics profited from a fentanyl-based painkiller up to 100 times stronger than morphine — and how some Wall Street investors looked the other way.
This journalism is made possible by viewers like you. Support your local PBS station here: 
http://www.pbs.org/donate
“Opioids, Inc.” tells the inside story of how Insys profited from Subsys, a fast-acting fentanyl-based spray that's been linked to hundreds of deaths. Tactics included targeting high-prescribing doctors and nurse practitioners known as “whales,” misleading insurers, and holding contests for the sales team: the higher the prescription doses they got doctors to write, the larger the cash prize — despite the dangers to patients. But as the documentary traces in unprecedented detail, the scheme fell apart: With federal prosecutors using anti-racketeering laws designed to fight organized crime, Insys became the first pharmaceutical company to have its CEOsentenced to prison timein federal courtin connection with the opioid crisis.
#Opioids #OpioidCrisis #WallStreet
Love FRONTLINE? Find us on the PBS Video App where there are more than 300 FRONTLINE documentaries available for you to watch any time: https://to.pbs.org/FLVideoApp
Subscribe on YouTube: http://bit.ly/1BycsJW
Instagram: https://www.instagram.com/frontlinepbs
Twitter: https://twitter.com/frontlinepbs
Facebook: https://www.facebook.com/frontline
Funding for FRONTLINE is provided through the support of PBS viewers and by the Corporation for Public Broadcasting. Major funding for FRONTLINE is provided by the John D.and Catherine T. MacArthur Foundation and the Ford Foundation. Additional funding is provided by the Abrams Foundation, the Park Foundation, The John and Helen Glessner Family Trust, and the FRONTLINE Journalism Fund with major support from Jon and Jo Ann Hagler onbehalf of the Jon L. Hagler Foundation.
An earlier version of this description misstated the strength of Insys' painkiller.</t>
  </si>
  <si>
    <t>Subscribe here: http://9Soci.al/chmP50wA97J Full Episodes: https://9now.app.link/uNP4qBkmN6 | China Syndrome (2018)
Australia has always considered the South Pacific our “patch of paradise” to protect and nurture. But now the Chinese are moving in and splashing their cash in places like Fiji and Vanuatu. So what’s next? 
Reporter: Tom Steinfort
Producer: Gareth Harvey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Sarah Abo look past the headlines because there is always a bigger picture. Sundays are for 60 Minutes.
#60MinutesAustralia</t>
  </si>
  <si>
    <t>Coronavirus Q&amp;A: Paul Offit, MD of the Children's Hospital of Philadelphia discusses principles and progress-to-date in COVID-19 vaccine development. Recorded on June 1, 2020.
Topics discussed in this interview:
0:00 Background on Dr Offit
1:26 Paul, what are the traditional phases, of vaccine development?
3:50 How many coronavirus vaccines are there in development, and how far along are some of them?
5:49 So there appears to be four different types of vaccines being developed. Do companies bet on one type, or do they develop more than one type?
6:41 How large are phase two trials in comparison to phase three trials?
7:16 What committees do you sit on?
8:05 Human challenge trials
9:07 Does that approval of human challenge trials rest with the FDA?
9:41 Are there any robust, larger phase two trials ongoing? What is the timeline for those trials?
10:44 What happens if there's little disease over the summer? How does that impact these trials?
11:25 When do you begin to accrue meaningful data from that these studies?  
11:56 Will there be a distribution of ages in terms of people who are vaccinated for these studies?13:17 So over the summer, we begin to accrue more information,  but how valuable that information is will depend upon how much disease is in the area where people have been vaccinated.  Is that an accurate statement? 
13:30 Do they just add more and more numbers to the initial phase three trial if there's simply not enough disease?
14:23 Will a vaccine be 100% effective?
15:55 What is Operation Warp Speed?
17:04 Mass producing the vaccine while coronavirus trials are ongoing.
18:36 Does America's investment in a vaccine then entitle the US to "own" that vaccine or some portion of that vaccine?  
19:24 Do you have any sense of how the issue of equity will play out in the US and other countries?
20:56 With Operation Warp Speed, do you anticipate that a successful phase three trial will lead to 300 million doses a few months later?
21:27 Vaccine-hesitancy
23:44 Political pressure on the FDA to approve a vaccine
25:07 What will be the mechanism that will lead to FDA approval of a vaccine?
25:49 Hydroxychloroquine and chloroquine are examples of why we need randomized clinical trials for COVID-19 treatments.
27:08 Why are we optimistic about a vaccine that's 1) a first-of-a-kind mRNA vaccine and 2) a first-of-a-kind coronavirus vaccine? 
28:33 Which vaccine will be made under Operation Warp Speed?
29:15 For the phase three trials to start in July,  are there plans to recruit enhanced numbers of Latinx and African Americans -  who are known to have higher infectious rates for whatever reason? 
30:14 Are persons with conditions that might put them at greater risk from a vaccine - autoimmune conditions, pregnant women - will they be excluded from the safety testing?
30:44 The Sweden experiment
31:55 What would a second wave without a vaccine look like in the fall?
35:30 Closing comments about vaccines and COVID-19?  
Editors' Notes: 
Overwhelming scientific evidence supports the benefits of vaccines over their harms and risks when used at a population level to prevent disease. See https://ja.ma/3etL3Rx for a discussion. Comments that communicate misinformation about the benefit:risk balance of vaccination will be deleted during and after this livestream.
At 14:00 the video shows a vial of parenteral rotavirus vaccine. That image is inaccurate - rotavirus vaccine is oral only. We cannot edit out the brief image without deleting the entire video, and judging the benefits of the conversation to outweigh the harms of the image we are leaving it intact, and regret the error. 
=====================================================================
• Earn Free CME credits by watching JAMA Livestreams and completing a brief questionnaire. Claim 0.5 credits for each video at https://ja.ma/covidqa
• Coronavirus Resource page from the JAMA Network: https://ja.ma/covidyt
#JAMALive #SARSCoV2 #Vaccines #VaccinesWork
---------------------------------------------------------------------------------
For more from JAMA
• https://www.jama.com
• https://www.facebook.com/JAMAJournal
• https://www.twitter.com/JAMA_Current
• https://www.linkedin.com/company/jamanetwork
Follow the #JAMANetwork
• https://www.jamanetwork.com
• http://www.jamanetworkaudio.com
• https://www.facebook.com/JAMANetwork
• https://www.twitter.com/JAMANetwork
• https://www.instagram.com/JAMANetwork
• https://www.pinterest.com/JAMANetwork</t>
  </si>
  <si>
    <t>Many have asked about my Parker Pen, this is the link to buy one (I receive a small commission if you use this link)
https://www.amazon.com/gp/product/B002HHLY3Q/ref=as_li_tl?ie=UTF8&amp;camp=1789&amp;creative=9325&amp;creativeASIN=B002HHLY3Q&amp;linkCode=as2&amp;tag=drjohncampbel-20&amp;linkId=bd08458981feb997a6ad73d3ff8df7c2
Facebook link, https://www.facebook.com/messages/t/john.l.campbell1
Timeline
https://docs.google.com/document/d/170pf3dN8qYGisVIWM4cDpFwHCO63FJtfhQbuiTrKM6k/edit?usp=sharing
https://www.telegraph.co.uk/global-health/science-and-disease/doubts-oxford-vaccine-fails-stop-coronavirus-animal-trials/?fbclid=IwAR2kmCw4KaLZZCIwpcabRxbIAP7rLS85LDZ1orhUJuxkyFhgPHTs6O8r1jQ
Oxford AZ vaccine
‘All of the 6 vaccinated monkeys treated with the Oxford vaccine became infected when challenged’
‘That viral loads in the noses of vaccinated and unvaccinated animals were identical’
Less severe clinical symptoms than unvaccinated animals
Neutralising antibody titres were low, insufficient to prevent infection
Insufficient to prevent viral shedding in nasal secretions
Human trials began in April with a non-vaccinated control group
2 groups now undergoing antibody studies
Results in a few months
Now preparing for 30,000 subjects, including elderly and children
New vaccines risk antibody-induced enhancement
This effect caused serious lung damage in animals given experimental vaccines for both SARS-1 and MERS.
Beth Israel Deaconess Medical Center, immunity and vaccine
https://www.eurekalert.org/pub_releases/2020-05/bidm-bvp051920.php
https://www.bostonglobe.com/2020/05/20/nation/two-studies-suggest-that-covid-19-antibodies-provide-immunity/
Two studies, 
Infection prevents reinfection.
Prototype vaccines protected against SARS-CoV-2
Antibodies do provide protection, whether they are triggered by an infection or a vaccine.
Study 1
Researchers infected 9 adult monkeys, noses and lungs
Virus quickly spread into their upper and lower respiratory tracts
All 9 developed viral pneumonia
All recovered within 28 days.
A week later, re-exposed, none of the animals got sick
Immunity passports
Study 2
35 monkeys
25 vaccinated (2 doses), 10 not vaccinated
One of six prototypes of DNA vaccines
All prototype vaccines used the genetic code for portions of the protein that CoV-2 uses to invade cells
All of the vaccinated monkeys developed antibodies, some at recovered monkey level
6 candidate DNA vaccines induced neutralizing antibody
3 weeks after the second vaccine dose, 
All monkeys inoculated with COVID-19
25 vaccinated and 10 not vaccinated
None of the vaccinated monkeys developed high levels of the virus in their lungs 
All 10 of the unvaccinated monkeys did
8 of the 25 vaccinated demonstrated no detectable virus at any point 
17 monkeys showed low levels of virus
Higher antibody levels were linked to lower viral loads
Therefore, lab test for risk of infection can be developed
Questions
Does this all apply to humans?
How long will the naturally or vaccine acquired immunity last?</t>
  </si>
  <si>
    <t>Countries across the world are racing to develop a vaccine against the novel coronavirus as experts have suggested that it would continue to spread if a vaccine cannot be found.
#UK #USA #DonaldTrump #COVID19 #Covid19Vaccine #CoronavirusVaccine #AstraZeneca #OxfordUniversity #PascalSoriot #Brazil
Follow us on: 
Website: https://www.thehindubusinessline.com
Facebook: https://www.facebook.com/TheHinduBusinessLine/
Twitter: https://twitter.com/businessline
Instagram: https://www.instagram.com/hindu_businessline/</t>
  </si>
  <si>
    <t>As millions of people aroung the globe continue to suffer during the coronavirus pandemic, the entire world is holding out for a cure. The coronavirus pandemic is a test for national governments,the global scientific community and the pharmaceutical industry. The stakes could hardly be higher. How close are we to curing Covid-19?
One drug that's attracted a LOT of attention during the pandemic is Hydroxychloroquin, used to treat malaria. US President Donald Trump claimed he was taking it to help ward off the coronavirus, a course of action scientists do not recommend. That said, there still appears to be some confusion about the drug's effects.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#Covid19 #Coronavirus #Medicine</t>
  </si>
  <si>
    <t>Until COVID-19 struck, very few had ever spared a thought for the "forgotten flu" and the up to 15,000 Australians who died from the brutal pandemic that swept the globe during 1918-19.
Intrigued by the parallels with the current pandemic — the mask-wearing, the quarantining, the social isolation — Australian Story delved into the archives and sought out the country’s expert historians.
Watch more Australian Story documentaries here: https://bit.ly/36ABH2J 
#AustralianStory #SpanishFlu #COVID19Australia
_________________________________________________________________________________
Watch more Australian Story documentaries here: https://bit.ly/36ABH2J 
You can also like us on Facebook: https://www.facebook.com/ABCAustralia. 
Follow us on Twitter: https://twitter.com/AustralianStory 
About Australian Story: Putting the "real" back into reality television, Australian Story is an award-winning documentary series with no narrator and no agendas — just authentic stories told entirely in people's own words. Take 30 minutes to immerse yourself in the life of an extraordinary Australian. They're sometimes high profile, sometimes controversial, but always compelling. It’s television guaranteed to make you think and feel. New episodes are available every Monday.</t>
  </si>
  <si>
    <t>The Ruby Princess cruise ship is the single largest source of COVID-19 infections in Australia. 
Owned by the world’s largest cruise company, Carnival Corporation, the Ruby Princess was one of a fleet of cruise ships operating as the pandemic gathered speed. The company was well aware of the risks. Only five weeks earlier its sister ship, the Diamond Princess, created world headlines when its passengers were trapped on board as the virus spread. 
On March 19, thousands of its passengers disembarked from the Ruby Princess in Sydney before dispersing around the country and overseas.
Far from protecting people, the release of its passengers triggered a public health emergency.
Four Corners investigates how the Ruby Princess became an incubator for infection, leaving its passengers and staff dangerously exposed. 
We also examine the actions of Australian authorities who allowed the ship to dock and the passengers to disembark, taking the virus with them.
Read more: https://ab.co/2Xql3Q6
_________
Watch more Four Corners investigations here: https://bit.ly/2JbpMkf 
You can also like us on Facebook: https://www.facebook.com/abc4corners/ 
Follow us on Twitter: https://twitter.com/4corners 
And sign up to our newsletter: https://www.abc.net.au/4corners/newsl...
_____________</t>
  </si>
  <si>
    <t>12 to 18 months is the timeline we keep hearing about for a potential Covid-19 vaccine. While this is possible, it would also be the fastest we've ever developed a vaccine. Dr. Seema Yasmin takes a look at the standard timeline for creating a vaccine, from the exploratory stage all the way until manufacturing and quality control. Just how does a Covid-19 vaccine fit into this timeline?
Still haven’t subscribed to WIRED on YouTube? ►► http://wrd.cm/15fP7B7 
Get more incredible stories on science and tech with our daily newsletter: https://wrd.cm/DailyYT
Also, check out the free WIRED channel on Roku, Apple TV, Amazon Fire TV, and Android TV. Here you can find your favorite WIRED shows and new episodes of our latest hit series Tradecraft.
ABOUT WIRED
WIRED is where tomorrow is realized. Through thought-provoking stories and videos, WIRED explores the future of business, innovation, and culture.
Doctor Explains How Fast a Covid-19 Vaccine Could Be Created | Cause + Control | WIRED</t>
  </si>
  <si>
    <t>Subscribe here: http://9Soci.al/chmP50wA97J Full Episodes here http://9Soci.al/sImy50wNiXL | A shot in the dark (2020)
Right now, there’s one thing all eight billion people on earth are wishing for: A vaccine for COVID-19. Political leaders everywhere, sweating on getting us to the other side of the pandemic, boldly promise it’ll happen within 12 to 18 months. But why should they be so optimistic?  After all, vaccines normally take decades to formulate and manufacture, and quite often success never comes. As Liam Bartlett finds out, some scientists say talk of a coronavirus vaccine is not only raising false hope, it’s fake news.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Allison Langdon, Tara Brown, Charles Wooley, Liam Bartlett and Sarah Abo look past the headlines because there is always a bigger picture. Sundays are for 60 Minutes.
#60MinutesAustralia</t>
  </si>
  <si>
    <t>#Dr.Fauci #coronavirus #COVID-19
Dr. Anthony Fauci, director of the National Institute of Allergy and Infectious Diseases, told Yahoo Finance on Tuesday he continues to work with the White House coronavirus task force to focus on states reopening— including a meeting Tuesday with Vice President Mike Pence.
The nation’s top infectious disease expert is not yet breathing a sight of relief, but feels the U.S. has improved its response to the outbreak as states relax restrictions on public life — even as some concerns remain about regions seeing a new flare up of COVID-19 cases.
“Things that [officials] are concentrating on right now are how do we safely reopen,” he said. How do we get the cities, these towns, these counties to try to get sort some sort of normality to get the economy back. That's most of what's being discussed,” Fauci added.
On the topic of a vaccine, and whether or not one will be ready this year, Fauci said it is likely we will at least know if any work by the end of the year.
Yet distribution to the general public is unlikely until next year, despite rising expectations of a more immediate breakthrough.
“My prediction would be that we would have more than one candidate that ultimately gets to the point of proven to be safe and effective,” Fauci told Yahoo Finance.
A crowded field of over 100 companies are currently testing candidates, but only a handful have the most promise. However, there are fears that some countries may prioritize their own citizens if a treatment is found — an outcome Fauci downplayed.
“So I don't think we're going to have a situation where one country or one organization has a vaccine that they are not going to share with others,” he said.
Subscribe to Yahoo Finance: https://yhoo.it/2fGu5Bb
About Yahoo Finance: 
At Yahoo Finance, you get free stock quotes, up-to-date news, portfolio management resources, international market data, social interaction and mortgage rates that help you manage your financial life.
Connect with Yahoo Finance:
Get the latest news: https://yhoo.it/2fGu5Bb
Find Yahoo Finance on Facebook: http://bit.ly/2A9u5Zq
Follow Yahoo Finance on Twitter: http://bit.ly/2LMgloP
Follow Yahoo Finance on Instagram: http://bit.ly/2LOpNYz</t>
  </si>
  <si>
    <t>New polling shows Joe Biden is leading the president in Michigan, Wisconsin, Pennsylvania, Florida, Arizona and North Carolina. Aired on 6/25/2020.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Biden Leads Trump In Six Battleground States The President Carried In 2016 | Morning Joe | MSNBC</t>
  </si>
  <si>
    <t>COVID-19 Update 81 with Roger Seheult, MD of https://www.medcram.com
The New England Journal of Medicine has published new data on a hydroxychloroquine randomized trial for prophylaxis.  Dr. Seheult illustrates the results, reported side effects, and discusses the concern for cardiac arrhythmias with medications (such as azithromycin and hydroxychloroquine) that can lengthen the QTc interval.  The concept of a second coronavirus wave of infections is also reviewed in the context of COVID-19 statistics from around the united states and world (This video was recorded June 8, 2020).
-----------------------------------------
Visit us at our website for videos on over 60 medical topics: https://www.medcram.com
Get notified of new videos by subscribing to MedCram: https://www.youtube.com/user/MEDCRAMvideos?sub_confirmation=1
-------------------------------------------
Links referenced in this video:
Johns Hopkins Tracker - https://coronavirus.jhu.edu/map.html
Worldometer https://www.worldometers.info/coronavirus/
RAPS - https://www.raps.org/news-and-articles/news-articles/2020/3/covid-19-vaccine-tracker
Cytel - https://covid-trials.org
NEJM - https://www.nejm.org/doi/full/10.1056/NEJMoa2016638
NYU Study on Hydroxychloroquine https://www.medrxiv.org/content/10.1101/2020.05.02.20080036v1.full.pdf+html#disqus_thread
Wikimedia - https://upload.wikimedia.org/wikipedia/commons/2/22/112_%28CardioNetworks_ECGpedia%29.jpg
MedCram - https://www.medcram.com/courses/ekg-ecg-interpretation-explained-clearly
-------------------------------------------
Some previous videos from this series (visit MedCram.com for the full series):
- Coronavirus Pandemic Update 80: COVID-19 Retractions &amp; Data (Hydroxychloroquine, ACE Inhibitors) https://youtu.be/KS-mHOtXX84
- Coronavirus Pandemic Update 79: COVID-19 Vaccines to Keep an Eye On - mRNA, Antigen, Others: https://youtu.be/-dYWZMx-Lfs
- Coronavirus Pandemic Update 78: Mask Controversy; Vaccine Update for COVID-19 https://youtu.be/_IrYyhufDwI
- Coronavirus Pandemic Update 77: Remdesivir Update; COVID-19 in Mexico https://youtu.be/LXtY_3A0WN8
- Coronavirus Pandemic Update 76: Antibody Testing False Positives in COVID-19 https://youtu.be/NSRK41UbTEU
- Coronavirus Pandemic Update 75: COVID-19 Lung Autopsies - New Data https://youtu.be/PlUFibXtDxQ
- Coronavirus Pandemic Update 74: Vitamin D &amp; COVID 19; Academic Censorship https://youtu.be/-zK8LgVx2G8
- Coronavirus Pandemic Update 73: Relapse, Reinfections, &amp; Re-Positives - The Likely Explanation https://youtu.be/01Rftnxbi6w
- Coronavirus Pandemic Update 72: Dentists; Diabetes; Sensitivity of COVID-19 Antibody Tests: https://youtu.be/UANgon3Umns
- Coronavirus Pandemic Update 71: New Data on Adding Zinc to Hydroxychloroquine + 
Azithromycin: https://youtu.be/WZq-K1wpur8
- Coronavirus Pandemic Update 70: Glutathione Deficiency, Oxidative Stress, and COVID 19 https://youtu.be/OtL0B1bqXak
- Coronavirus Pandemic Update 69: "NAC" Supplementation and COVID-19 (N-Acetylcysteine) https://youtu.be/Dr_6w-WPr0w
- Coronavirus Pandemic Update 68: Kawasaki Disease; Minority Groups &amp; COVID-19: https://youtu.be/Ja-jhcXMGj0
- Coronavirus Pandemic Update 67: COVID-19 Blood Clots - Race, Blood Types, &amp; Von Willebrand Factor https://youtu.be/JOlVkES_kC8
- Coronavirus Pandemic Update 66: ACE-Inhibitors and ARBs - Hypertension Medications with COVID-19 https://youtu.be/OudhmwulJHY
All coronavirus updates are at MedCram.com (including a discussion of the diagnosis, prevention, treatment, and vaccines for COVID-19 - including mRNA vaccines, randomized controlled trials, and recent journal retractions related to ACE inhibitors, ARBs, coronavirus second wave, and hydroxychloroquine prophylaxis and zinc) and we offer many other medical topics (ECG Interpretation, strokes, thrombosis, pulmonary embolism, myocardial infarction, hypercoagulation, hypertension, anticoagulation, DKA, acute kidney injury, influenza, measles, mechanical ventilation, etc.).
-------------------------------------------
Speaker: Roger Seheult, MD
Board Certified in Internal Medicine, Pulmonary Disease, Critical Care, and Sleep Medicine.
Associate Professor at the University of California, Riverside School of Medicine
MedCram provides videos to a variety of medical schools, education programs, and institutions (please contact us at customers@medcram.com if you are interested)
Media Contact: customers@medcram.com
Media contact info: https://www.medcram.com/pages/media-contact
MedCram medical videos are for medical education and exam preparation, and NOT intended to replace recommendations from your doctor.
#COVID19 #SARSCoV2 #FOAMed</t>
  </si>
  <si>
    <t>NBC News’ Stephanie Ruhle breaks down new unemployment numbers as 1.48 million more Americans filed for benefits, bringing the total number of claims during the coronavirus pandemic to nearly 50 million.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Unemployment Claims Rise To Nearly 50 Million Amid Coronavirus Pandemic | NBC News NOW</t>
  </si>
  <si>
    <t>Dr. Christy explains the process of developing a vaccine and gives an update on where we are now for the vaccine for COVID-19.
Works Cited:
https://www.raps.org/news-and-articles/news-articles/2020/3/covid-19-vaccine-tracker
https://www.statnews.com/2020/03/11/researchers-rush-to-start-moderna-coronavirus-vaccine-trial-without-usual-animal-testing/
https://weekly.biotechprimer.com/dna-vaccines-explained/</t>
  </si>
  <si>
    <t>Dr. Seema Yasmin talks to three COVID-19 vaccine researchers who are developing three different types of vaccines. Traditionally, vaccines are created by using a weakened or dead version of the virus and injecting that into the body. Many of these developing coronavirus vaccines are using new technologies. What's the difference between recombinant protein-based vaccine, a DNA-based vaccine and an mRNA-based vaccine? 
Still haven’t subscribed to WIRED on YouTube? ►► http://wrd.cm/15fP7B7 
Get more incredible stories on science and tech with our daily newsletter: https://wrd.cm/DailyYT
Also, check out the free WIRED channel on Roku, Apple TV, Amazon Fire TV, and Android TV. Here you can find your favorite WIRED shows and new episodes of our latest hit series Tradecraft.
ABOUT WIRED
WIRED is where tomorrow is realized. Through thought-provoking stories and videos, WIRED explores the future of business, innovation, and culture.
3 Researchers Break Down COVID-19 Vaccines They're Developing (3 Types) | Cause + Control | WIRED</t>
  </si>
  <si>
    <t>We need a coronavirus vaccine to beat the pandemic, but that's a problem. Why? Because making a Covid-19 vaccine that works (and is safe) will take a long time. 
Even the most hopeful estimates suggest it could take a year, but some believe we may have to wait until the end of 2021 to have a working cure, and that's before we tackle the problem of immunising the whole world.
In this video we explore the challenges facing those looking to create a coronavirus vaccine, how human trials work and explain why developing a cure for coronavirus will take such a long time.
This video was produced as part of Digital Society, a publishing partnership between WIRED and Vontobel where all content is editorially independent. Visit Vontobel Impact for more stories on how technology is shaping the future of society: https://www.vontobel.com/en-int/about-vontobel/impact/
Credits:
Animation by RUN ZËBRA RUN http://runzebra.run/
Scientific animation by Microverse Studios https://www.microversestudios.com/</t>
  </si>
  <si>
    <t>More than 130 labs around the world are working to develop a COVID-19 vaccine. But what would it take to vaccinate everyone by early next year?
SUBSCRIBE FOR MORE VIDEOS AND NEWS
http://www.youtube.com/subscription_center?add_user=losangelestimes
https://www.latimes.com/subscription
LET’S CONNECT:
Facebook ► https://www.facebook.com/latimes
Twitter ► https://twitter.com/LATimes
Instagram ► https://www.instagram.com/latimes</t>
  </si>
  <si>
    <t>Gravitas: Is China blocking a Coronavirus vaccine?
Is China sabotaging global efforts to find a vaccine for the Wuhan virus? Did U.S. Senator Rick Scott's warning of Chinese sabotage come out of the blue?  Is Beijing trying to gain a monopoly over a life-saving drug?
#Gravitas #COVID19Vaccine #WuhanVirus 
About Channel: 
WION -The World is One News, examines global issues with in-depth analysis. We provide much more than the news of the day. Our aim to empower people to explore their world. With our Global headquarters in New Delhi, we bring you news on the hour, by the hour. We deliver information that is not biased. We are journalists who are neutral to the core and non-partisan when it comes to the politics of the world. People are tired of biased reportage and we stand for a globalised united world. So for us the World is truly One.
Please keep discussions on this channel clean and respectful and refrain from using racist or sexist slurs as well as personal insults.
Subscribe to our channel at https://goo.gl/JfY3NI
Check out our website: http://www.wionews.com
Connect with us on our social media handles:
Facebook: https://www.facebook.com/WIONews
Twitter: https://twitter.com/WIONews
Follow us on Google News for latest updates
WION: shorturl.at/fwKO0
Zee News English: shorturl.at/aJVY3
Zee News Hindi: shorturl.at/eorM1
Zee Business: shorturl.at/hpqX6
DNA News: shorturl.at/rBOY6
BGR: shorturl.at/eioqL</t>
  </si>
  <si>
    <t>Andrew Rubin, who is voluntary helping to test a coronavirus vaccine, explains his experience to CNBC.
More Covid-19 vaccines are being developed by researchers in the United States than in any other country, according to the WHO.
The WHO’s most recent update on global vaccine development projects, published Tuesday, showed there are currently at least 133 vaccines being tested around the world.
U.S. institutions are working on the highest number of these — 42 — according to the WHO’s list, and Chinese research facilities are working on 19, meaning China is developing the second-highest number of vaccines.
Of the 133 vaccines, 10 vaccines are in the clinical trial phase (meaning they are being tested on human volunteers) and 123 vaccines are in the preclinical trial phase.
China is working on more projects in the clinical trial phase than any other country, with the U.S. following close behind.
Projects that have progressed to clinical trials include Moderna’s potential vaccine, which the U.S. company said generated some positive data in early tests last month. However, vaccine experts later expressed skepticism about the company’s data. The firm’s chairman told CNBC that it would never put out data on its vaccine that varied from “reality.”
Another vaccine undergoing human trials is being developed at Oxford University in England, which pharmaceutical giant AstraZeneca has agreed to manufacture and distribute at cost. The project, which aims to roll out 30 million doses of the immunization in the U.K. within months if successful, recently received $1 billion in U.S. government funding.
At least 123 further potential vaccines are being investigated around the world, according to the WHO, but these are in the earlier “preclinical evaluation” phase of trials — meaning they may never be tested on humans.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</si>
  <si>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Jon Stewart talks confederate statues, the politicization of the pandemic, what gives him hope, and his new film, “Irresistible.” #DailyShow #TrevorNoah #JonStewart
Donate to support the National Black Justice Coalition: https://dailyshow.com/NJBC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Daily Show correspondents tackle the biggest stories in news, politics and pop culture.
The Daily Show with Trevor Noah airs weeknights at 11/10c on Comedy Central.</t>
  </si>
  <si>
    <t>CNBC's Meg Tirrell interviews White House health advisor Dr. Anthony Fauci about his outlook for the coronavirus pandemic in the United States.
The question of whether to reopen schools in the fall has a “complicated answer” and the decision will depend on the coronavirus’ transmission in certain regions of the U.S., White House health advisor Dr. Anthony Fauci said on Friday. 
“It has to be a bit of a — and I don’t mean lengthwise — a bit of a complicated answer, because the United States is a large country,” he said during an interview Friday on CNBC’s “Halftime Report.” 
“When you’re talking about getting back to a degree of normality and school openings and things like that, it’s always related to the level of activity of the virus,” he said. 
For instance, the level of virus transmission near cities such as Casper, Wyoming, will likely be much different from that of other metropolitan areas, he said, and the decision to reopen schools shouldn’t be a “uni-dimensional judgment.” 
“There are varying degrees of infection activity depending upon the region, the state, the city, the town and the county,” he said. 
Fauci, director of the National Institute of Allergy and Infectious Diseases, said the number of cases has plateaued and is coming down as a nation overall. However, there are certain regions where there are blips in infections. 
“In general, things tend to be going in the right direction,” he said. “There are some areas that are doing better than others and others that are doing worse,” he said. 
As states eye reopening schools and universities across the U.S. this fall, some health experts are concerned that gathering students could cause increased transmission of Covid-19, although younger people are considered to be at lower risk of serious illness. 
New infections will begin to creep up in the fall and winter months, Fauci said. However, a second wave of infections later this year is preventable, he said. 
“It’s in the way we and the efficiency and effectiveness in which we put the manpower, the systems, the tests to identify, isolate and contact trace, that will determine how successful we are in preventing that wave,” he said.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</si>
  <si>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Former Secretary of State Madeleine Albright discusses Trump using tear gas on protesters to pose with the St. John's Church, why she says Trump is the most un-American president in U.S. history and her new book. Aired on 06/10/2020.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Albright: Trump The Most Un-American, Undemocratic, President In U.S. History | Morning Joe | MSNBC</t>
  </si>
  <si>
    <t>CNN's chief medical correspondent Dr. Sanjay Gupta expresses his frustration over the country's current state in the coronavirus pandemic with CNN's John Berman.
#CNN #News</t>
  </si>
  <si>
    <t>Former FDA Commissioner Dr. Scott Gottlieb on the latest developments in the coronavirus pandemic.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</si>
  <si>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Surgeon General Jerome Adams in a public statement on Thursday stated the national coronavirus curve was flattening but that COVID-19 has not gone away. Drs. Vin Gupta and Dave Campbell discuss the surgeon general's remarks. Aired on 06/12/2020.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Dr. Gupta: We Aren't Flattening The Curve; The Curve Is Re-Expanding | Morning Joe | MSNBC</t>
  </si>
  <si>
    <t>Seth takes a closer look at the president deciding to inhabit an alternate reality where the coronavirus pandemic doesn’t exist, even as the US sets a single-day record for new cases.
Late Night with Seth Meyers is supporting City Harvest to help those in need during the COVID-19 pandemic. City Harvest is New York City’s largest food rescue organization, working to end hunger throughout its communities by rescuing 66 million pounds of food each year and delivering it, free of charge, to hundreds of food pantries, soup kitchens and other community partners across five boroughs. Click the button on the above/below to donate or visit https://www.cityharvest.org/.
Subscribe to Late Night: http://bit.ly/LateNightSeth
Watch Late Night with Seth Meyers Weeknights 12:35/11:35c on NBC.
Get more Late Night with Seth Meyers: http://www.nbc.com/late-night-with-seth-meyers/
LATE NIGHT ON SOCIAL
Follow Late Night on Twitter: https://twitter.com/LateNightSeth
Like Late Night on Facebook: https://www.facebook.com/LateNightSeth
Follow Late Night Instagram: http://instagram.com/LateNightSeth
Late Night on Tumblr: http://latenightseth.tumblr.com/
Late Night with Seth Meyers on YouTube features A-list celebrity guests, memorable comedy, and topical monologue jokes.
GET MORE NBC
Like NBC: http://Facebook.com/NBC
Follow NBC: http://Twitter.com/NBC
NBC Tumblr: http://NBCtv.tumblr.com/
YouTube: http://www.youtube.com/nbc
NBC Instagram: http://instagram.com/nbctv
Trump Pretends Coronavirus Doesn’t Exist: A Closer Look- Late Night with Seth Meyers
https://youtu.be/7_HxdCHqFiU
Late Night with Seth Meyers
http://www.youtube.com/user/latenightseth</t>
  </si>
  <si>
    <t>Multiple states see explosions of coronavirus cases, Americans are still resisting mask-wearing, and Europe considers banning travelers from the U.S. thanks to Trump’s disastrous handling of the pandemic. #DailyShow #TrevorNoah #Coronavirus
Donate to support the National Black Justice Coalition: https://dailyshow.com/NJBC
Subscribe to The Daily Show:
https://www.youtube.com/channel/UCwWhs_6x42TyRM4Wstoq8HA/?sub_confirmation=1 
Follow The Daily Show:
Twitter: https://twitter.com/TheDailyShow
Facebook: https://www.facebook.com/thedailyshow
Instagram: https://www.instagram.com/thedailyshow
Watch full episodes of The Daily Show for free: http://www.cc.com/shows/the-daily-show-with-trevor-noah/full-episodes
Follow Comedy Central:
Twitter: https://twitter.com/ComedyCentral
Facebook: https://www.facebook.com/ComedyCentral
Instagram: https://www.instagram.com/comedycentral
About The Daily Show:
Trevor Noah and The Daily Show correspondents tackle the biggest stories in news, politics and pop culture.
The Daily Show with Trevor Noah airs weeknights at 11/10c on Comedy Central.</t>
  </si>
  <si>
    <t>Dr. Anthony Fauci says he is concerned about the rise in hospitalizations due to the Covid-19 coronavirus and think that it will make some states rethink their reopening timelines.
#Fauci #CNN #News</t>
  </si>
  <si>
    <t>Science editor Ian Sample explains how vaccines work, runs through some of the main obstacles to creating one for the coronavirus and to preparing it for public use, and tells us which scenario he thinks is most realistic in the next 18 months
Subscribe to Guardian News on YouTube ► http://bit.ly/guardianwiressub
Support the Guardian ► https://support.theguardian.com/contribute
Today in Focus podcast ► https://www.theguardian.com/news/series/todayinfocus
The Guardian YouTube network:
The Guardian ► http://www.youtube.com/theguardian
Owen Jones talks ► http://bit.ly/subsowenjones
Guardian Football ► http://is.gd/guardianfootball
Guardian Sport ► http://bit.ly/GDNsport
Guardian Culture ► http://is.gd/guardianculture</t>
  </si>
  <si>
    <t>There are several Covid-19 vaccines in human clinical trials right now, and more than 100 worldwide in development.  Experts says providers will need a number of viable options to reproduce enough vaccine to meet the demand. As we're about to show you, one group of scientists say they have developed a novel vaccine that is now ready for human trial.</t>
  </si>
  <si>
    <t>Coronavirus was thought to not affect younger people as much as older people, but around the world some young people infected with COVID-19 have developed a mystery illness that can lead to heart attacks.
Read more here: https://www.abc.net.au/news/2020-06-10/fit-healthy-young-struck-down-with-covid-linked-disease-mis-c/12332340
For more from ABC News, click here: https://ab.co/2kxYCZY
You can watch more ABC News content on iview: https://ab.co/2OB7Mk1
Subscribe to us on YouTube: http://ab.co/1svxLVE
Go deeper on our ABC News In-depth channel: https://ab.co/2lNeBn2
You can also like us on Facebook: http://facebook.com/abcnews.au
Or follow us on Instagram: http://instagram.com/abcnews_au
Or even on Twitter: http://twitter.com/abcnews</t>
  </si>
  <si>
    <t>As lockdowns around the world continue in some form, and a new normal begins to bed itself in, many of us are wondering: when will this coronavirus pandemic end?
(Subscribe: https://bit.ly/C4_News_Subscribe)
That’s a tricky question to answer. We are waiting for a vaccine - but when? Or may it never come along? What would a world with no vaccine look like - and for how long will we have to learn to live with the virus at the back of our minds?
In this video, we try to figure out what our future might look like.
We speak to the World Health Organization’s Dr Rosamund Lewis and Harvard’s Dr Stephen Kissler, as well as Professors Devi Sridhar, Elizabetta Grappelli, Jodie McVernon and Dora Vargha.
-------
Watch more of our explainer series here - https://www.youtube.com/playlist?list=PLXjqQf1xYLQ6bu-iixvoFTVsiXQVlVniX
Get more news at our site - https://www.channel4.com/news/ 
Follow us:
Facebook - https://www.facebook.com/Channel4News/
Twitter - https://twitter.com/Channel4News</t>
  </si>
  <si>
    <t>Del Bigtree
THE #CORONAVIRUS VACCINE #AGENDA: EXPOSING THE DANGEROUS TRUTH OF BIG-PHARMA'S MASTER PLAN
Del Bigtree is one of the preeminent voices of the Vaccine Risk Awareness Movement. His career as an Emmy winning producer of the CBS talk show The Doctors changed abruptly when he produced the documentary VAXXED, which is credited with igniting a revolution against Pharmaceutical Tyranny around the world.
Now Del’s internet talk show, The HighWire, is the fastest growing program in the Natural Health arena with over 40 million views, and his non-profit, ICANdecide.org, is leading worldwide investigations into drug and vaccine fraud that have already resulted in two winning lawsuits against US Government agencies Health and Human Services and National Institute of Health.
Del is probably best known for his powerful speeches that weave shocking truth, searing wit and dynamic passion into an experience that is often described as electrifying.
Chapters
0:29 | Brian Rose Introduces the Business Accelerator program
3:43 | Brian Rose introduces Del Bigtree
6:18 | Del Bigtree talks about being censored and his documentary Vaxxed
9:30 | Del Bigtree talks about Donald Trump going after Twitter censorship
11:09 | Del discusses having Dolores Cahill on his show
14:00 | Brian Rose talks about being censored from YouTube
18:42 | Del Bigtree talks about mandating COVID-19 vaccines
27:40 | They talk about vaccine injuries and chronic health
31:31 | Brian Rose talks interviewing about Judy Mikovits and Robert F. Kennedy Jr.
34:20 | Del Bigtree discusses the link between autism and the MMR vaccination
46:41 | Del Bigtree talks about double blind placebo tests
1:00:00 | Brian asks Del what he thinks about the COVID-19 pandemic
1:08:00 | Del Bigtree discusses the results of initial #COVID_19 vaccine tests
1:09:23 | Del discusses Trump and his response to the pandemic
1:14:00 | Del Bigtree discusses Sweden’s herd immunity
1:15:00 | Brian Rose asks Del about the next 6 months
1:21:04 | Brian talks about the upcoming economic ramifications
1:29:04 | Del talks about his meeting with Dr. Fauci and Trump regarding the CDC’s data on non-vaccinated people vs vaccinated.
1:32:00 | Del discusses the use of Remdesivir
1:34:00 | Brian Rose asks Del about Bill Gates
1:39:00 | Del asks the viewers to keep learning and sharing information about vaccines
1:42:50 | Brian Rose sums up</t>
  </si>
  <si>
    <t>Moderna expects to enroll about 30,000 people when it begins a phase three trial in July. CNBC's Meg Tirrell reports.
Moderna on Thursday confirmed it plans to start a trial of 30,000 volunteers of its much-anticipated coronavirus vaccine in July as the company enters the final stage of testing.
The Cambridge, Massachusetts-based biotech said the primary goal of the study would be to prevent symptomatic Covid-19, the disease caused by the novel coronavirus. The key secondary goal would be prevention of severe disease, as defined by keeping people out of the hospital.
Moderna said it has selected the 100 microgram dose of the vaccine for the late-stage study. At that dose level, the company is on track to deliver about 500 million doses per year, and possibly up to 1 billion doses per year, starting in 2021 from the company’s internal U.S. manufacturing site and strategic collaboration with Swiss drugmaker Lonza.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</si>
  <si>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미국 모더나, 7월에 코로나19 백신 최종시험
Moderna will start a final stage of a COVID-19 vaccine trial with 30-thousand volunteers in July.
The company says the goal is to prevent people developing the virus and keeping patients out of hospital with severe illnesses caused by the virus.
The announcement caused the company's shares to rise six percent in premarket trading.
Moderna has selected the one-hundred microgram dose for the final trial.
It says that, with this dose level,... it can deliver about one-billion doses a year starting 2021.
AstraZeneca and Johnson and Johnson are to start phase three trials in August and September respectively.
#Moderna #vaccine #COVID19 
_xD83D__xDCE3_ Arirang News(Facebook) : https://www.facebook.com/arirangtvnews
_xD83D__xDCE3_ Arirang News(Twitter) : https://twitter.com/arirangtvnews
_xD83D__xDCE3_ News Center(YouTube) : https://www.youtube.com/c/NEWSCENTER_ARIRANGTV</t>
  </si>
  <si>
    <t>Sweden.     https://www.bmj.com/content/369/bmj.m2376
Many have asked about my Parker Pen, this is the link to buy one (I receive a small commission if you use this link)
https://www.amazon.com/gp/product/B002HHLY3Q/ref=as_li_tl?ie=UTF8&amp;camp=1789&amp;creative=9325&amp;creativeASIN=B002HHLY3Q&amp;linkCode=as2&amp;tag=drjohncampbel-20&amp;linkId=bd08458981feb997a6ad73d3ff8df7c2
Amazon shop for my video production equipment (I receive a small commission if you use this link)
https://www.amazon.com/shop/dr.johncampbell
Measures
Schools closed to under 16
Gatherings of more than 50 discouraged
Bars, restaurants, other public spaces remained open
Citizens were trusted to distance themselves.
Intentions
Don’t contain spread
Herd immunity, inherent in the Swedish strategy
Allowing a proportion of the population to be infected
At the expense of deaths among the vulnerable
Herd immunity
50% to 90%
Depending on how contagious an infection
People have enough antibodies to repel the virus
26 April, Anders Tegnell
‘Rise in infections beginning to flatten’
‘Reached a plateau in Stockholm’
Annika Linde, former state epidemiologist
I think we’re starting to see that the Swedish model maybe wasn’t the smartest
 More than half the deaths, in care homes
Government advice implied asymptomatics not contagious
Care home staff often worked with substandard protection and worked when symptomatic
Increasing practice of doctors recommending by telephone a “palliative cocktail” for sick older
people in care homes
Morphine and midazolam, respiratory-inhibiting
Proportion of older people in respiratory care nationally was lower than at the same time a year ago
Thousands of lives could be saved if people in care homes with the virus received oxygen supplies
The results
Sweden
Norway
Finland
Denmark
All three neighbouring countries adopted a lockdown approach early, which they are now slowly lifting
All three have since re-opened their borders, but not to Sweden.
25 May and 2 June
Most coronavirus deaths per capita in Europe
5.29 deaths per million
UK ranked second with 4.48
Ongoing nationwide study
20 May, 7.3% of Stockholm residents had developed antibodies
11 May, (WHO) globally, antibodies in only 1-10% 
WHO therefore warned against any country depending on herd immunity as a strategy
Contact tracing has been largely abandoned since the beginning of March
If you would like to donate to this educational project, please use the following link, thank you, https://www.paypal.com/cgi-bin/webscr?cmd=_s-xclick&amp;hosted_button_id=78GGHGLK5ZXAE</t>
  </si>
  <si>
    <t>CNBC's Meg Tirrell talks with Johnson &amp; Johnson chief scientific officer Dr. Paul Stoffels on the company's coronavirus vaccine trials.
Johnson &amp; Johnson announced Wednesday its early-stage human trial for a potential coronavirus vaccine will begin in the second half of July, earlier than its initial forecast of September.
“Based on the strength of the preclinical data we have seen so far and interactions with the regulatory authorities, we have been able to further accelerate the clinical development of our investigational SARS-CoV-2 vaccine, Ad26.COV2-S, recombinant,” J&amp;J’s Chief Scientific Officer Paul Stoffels said in a press release.
The company began developing a Covid-19 vaccine in January.
It is using the same technologies it used to make its experimental Ebola vaccine, which was provided to people in the Democratic Republic of Congo in late 2019. It involves combing genetic material from the coronavirus with a modified adenovirus that is known to cause common colds in humans.
J&amp;J said earlier this year that if the vaccine works well and is safe it could produce 600 million to 900 million doses by April 2021. The company said Wednesday it is committed to the goal of supplying more than 1 billion doses globally through the course of 2021, provided the vaccine is safe and effective.
J&amp;J’s early-stage trial will test its vaccine on 1,045 healthy adults ages 18 to 55 years as well as adults ages 65 years and older. It will take place in the United States and Belgium.
The effort by J&amp;J is one of several working on a potential vaccine to prevent Covid-19, which has sickened more than 7.2 million people worldwide and killed at least 411,879, according to data compiled by Johns Hopkins University.
There are at least 124 Covid-19 vaccines under development as of June 2, according to the World Health Organization. At least 10 of those are already in clinical trials.
The National Institutes of Health has been fast-tracking work with biotech firm Moderna on a potential vaccine to prevent Covid-19.
Moderna expects to enroll about 30,000 people when it begins a phase three trial in July, according to Dr. Anthony Fauci, director of the National Institute of Allergy and Infectious Diseases.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</si>
  <si>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An empty seat won’t prevent transmission, but it might help a little.
Check out this episode of our new Quibi show, Answered. 
There's a new episode daily you can watch here: https://link.quibi.com/answeredbyvoxyt
As coronavirus lockdowns loosen, flights are starting to fill up — leading many people to call for empty middle seats. Keeping middle seats open on a plane can help maintain physical distance between passengers. But it’s unlikely to prevent virus transmission; there are many other ways coronavirus can spread on an airplane. One thing’s for sure, though: a vacant middle seat will definitely affect how much we pay to fly.
Subscribe to our channel! http://goo.gl/0bsAjO
Vox.com is a news website that helps you cut through the noise and understand what's really driving the events in the headlines. Check out http://www.vox.com 
Check out our full video catalog: http://goo.gl/IZONyE
Or our podcasts: https://www.vox.com/podcasts
Follow Vox on Twitter: http://goo.gl/XFrZ5H
Or on Facebook: http://goo.gl/U2g06o</t>
  </si>
  <si>
    <t>Arghavan Salles is a California-based surgeon. At the peak of the Covid-19 pandemic, she volunteered at a New York City hospital for two weeks. This is what she witnessed. 
Data sourced from: https://www1.nyc.gov/
Still haven’t subscribed to WIRED on YouTube? ►► http://wrd.cm/15fP7B7 
Get more incredible stories on science and tech with our daily newsletter: https://wrd.cm/DailyYT
Also, check out the free WIRED channel on Roku, Apple TV, Amazon Fire TV, and Android TV. Here you can find your favorite WIRED shows and new episodes of our latest hit series Tradecraft.
ABOUT WIRED
WIRED is where tomorrow is realized. Through thought-provoking stories and videos, WIRED explores the future of business, innovation, and culture.
Diary of a Covid-19 Doctor: 14 Days in a NYC Hospital | WIRED</t>
  </si>
  <si>
    <t>Dr. Neeta Ogden joined CBSN to discuss the latest vaccine developments, what we know about immunity, plus a new study that suggests flushing the toilet could create a cloud of potentially infectious coronavirus particles that linger in the air.</t>
  </si>
  <si>
    <t>Los Angeles-based trauma surgeon Annie Onishi documents 10 weeks of her life working inside a hospital during the Covid-19 pandemic. Annie chronicles what everything has been like, from her first patients and deaths until the present. 
Annie Onishi is a trauma surgeon and surgical critical care doctor in Los Angeles, California. 
Still haven’t subscribed to WIRED on YouTube? ►► http://wrd.cm/15fP7B7 
Get more incredible stories on science and tech with our daily newsletter: https://wrd.cm/DailyYT
Also, check out the free WIRED channel on Roku, Apple TV, Amazon Fire TV, and Android TV. Here you can find your favorite WIRED shows and new episodes of our latest hit series Tradecraft.
ABOUT WIRED
WIRED is where tomorrow is realized. Through thought-provoking stories and videos, WIRED explores the future of business, innovation, and culture.
Diary of a Trauma Surgeon: 10 Weeks of Covid-19 | WIRED</t>
  </si>
  <si>
    <t>The government is putting big bets on coronavirus vaccines that may not work, scientists have warned.
Around 90% of experimental vaccines never reach the clinic because of problems in development or manufacture.
A separate team at Nottingham University says their vaccine prototype - which involves injecting patients with DNA - has considerable advantages, but has been overlooked for funding.
#COVID19 #coronavirus #UK
SUBSCRIBE to our YouTube channel for more videos: http://www.youtube.com/skynews
Follow us on Twitter: https://twitter.com/skynews 
Like us on Facebook: https://www.facebook.com/skynews
Follow us on Instagram: https://www.instagram.com/skynews
For more content go to http://news.sky.com and download our apps: 
Apple: https://itunes.apple.com/gb/app/sky-news/id316391924?mt=8
Android https://play.google.com/store/apps/details?id=com.bskyb.skynews.android&amp;hl=en_GB
Sky News videos are now available in Spanish here/Los video de Sky News están disponibles en español aquí https://www.youtube.com/channel/UCzG5BnqHO8oNlrPDW9CYJog</t>
  </si>
  <si>
    <t>Tens of thousands of Americans will participate in large human trials that test three coronavirus vaccines this summer.
READ MORE: https://abcn.ws/2XQdovU
#ABCNews #COVID19 #CovidVaccines #SecondWave #DrFauci</t>
  </si>
  <si>
    <t>Vitamin D and Covid-19 
Press release from the French National Academy of Medicine 22 May 2020 
http://www.academie-medecine.fr/wp-content/uploads/2020/05/20.5.22-Vitamine-D-et-coronavirus-ENG.pdf
Vitamin D is a prohormone
Synthesized in the dermis under the effect of ultraviolet light
Transported to the liver and kidneys, where it is transformed into an active hormone
Responsible for intestinal absorption of calcium and bone health. 
Modulates the functioning of the immune system by stimulating macrophages and dendritic cells
Role in regulating and suppressing the cytokine inflammatory response
Acute respiratory distress syndrome
A significant correlation between low serum vitamin D levels and mortality from Covid- 19
This phenomenon follows a North-South gradient
Exceptions are Nordic countries, vitamin D supplementation
Not a preventive or a therapeutic
By mitigating the inflammatory storm and its consequences, considered as an adjunct to any form of therapy. 
Simple and inexpensive measure
Confirms its recommendation to ensure vitamin D supplementation in the French population
Recommends the rapid serum vitamin D (i.e. 25 OHD) testing in people over 60 years of age with Covid-19
Loading dose of 50,000 to 100,000 IU in case of deficiency, which could help limit respiratory complications; 
Recommends vitamin D supplementation of 800 to 1000 IU/day in people under 60, as soon as the diagnosis of Covid-19 is confirmed. 
Vitamin D: A Low-Hanging Fruit in COVID-19? (Medscape)
https://www.medscape.com/viewarticle/930660?src=wnl_tp10n_200605_mscpedit&amp;uac=127834AR&amp;impID=2406378&amp;faf=1
Observational data from various countries suggest inverse links;
Severity of COVID-19 responses
Mortality
No randomized controlled trial
Having adequate vitamin D is important, especially for those at the highest risk of COVID-19
No role
Simply a marker
A causal factor
Spain and northern Italy, high rates of vitamin D deficiency
Spain and Italy not formally fortify foods or recommend supplementation
Norway, Finland, and Sweden had higher vitamin D levels
European countries, P = .046, 95.4% confidence, (4.6% chance this result arose by chance)
Correlation is not causality
Optimizing vitamin D status to recommendations by national and international public health agencies will certainly have, potential benefits for COVID-19 (Irish Medical Journal), http://imj.ie/vitamin-d-and-inflammation-potential-implications-for-severity-of-covid-19/
Immune Modulation
https://www.medrxiv.org/content/10.1101/2020.04.08.20058578v4
Data from China, France, Germany, Italy, Iran, South Korea, Spain, Switzerland, United Kingdom, United States
Risk of severe COVID-19
Vitamin D deficiency was 17.3%
Normal Vitamin D level was 14.6%
(a reduction of 15.6%).
Ethnic Minorities Disproportionately Affected
British Association of Physicians of Indian Origin (BAPIO) to get their vitamin D levels tested.
LARGE, SINGLE-DOSE, ORAL VITAMIN D SUPPLEMENTATION IN ADULT POPULATIONS: A SYSTEMATIC REVIEW
https://www.ncbi.nlm.nih.gov/pmc/articles/PMC4128480/
They suggest a booster dose of 100,000 IU as a one-off
Single vitamin D3 doses ≥300,000 IU are most effective at improving vitamin D status…for up to 3 months
Daily doses of 1000 IU seem reasonable
Testing and Governmental Recommendations During COVID-19
US National Institute of Health
https://ods.od.nih.gov/factsheets/VitaminD-HealthProfessional/
400 IU to 800 IU per day, will result in blood levels that are sufficient to maintain bone health and normal calcium metabolism in healthy people
Public Health England (PHE) 
https://www.nhs.uk/conditions/vitamins-and-minerals/vitamin-d/
There is not sufficient evidence to support recommending Vitamin D for reducing the risk of COVID-19 (PHE)
https://derbynews.org.uk/2020/06/09/covid-19-a-daily-dose-of-vitamin-d-could-significantly-reduce-the-death-rate-in-black-asian-people/?fbclid=IwAR1T8KvXIQBOcgpUgL99SUy2fA3LaTu-fBoO13vOs1lEcqrXfnHY2aub4GU</t>
  </si>
  <si>
    <t>Jun.22 --  “Having the Flu and Coronavirus together in the same patient is going to be a recipe for disaster,” says Jennifer Rohn, principal research fellow at University College London, as she discusses the efficacy of a Covid-19 vaccine, and the spread of the coronavirus. She speaks on "Bloomberg Surveillance."</t>
  </si>
  <si>
    <t>Ross Greer Scottish MSP recently posted a tweet calling Winston Churchill a "white supremacist mass murderer". Piers challenges Ross on the comments which sparks a fiery debate.
Subscribe now for more! http://bit.ly/1NbomQa
Broadcast on 29/01/2019
Like, follow and subscribe to Good Morning Britain!
The Good Morning Britain YouTube channel delivers you the news that you’re waking up to in the morning. From exclusive interviews with some of the biggest names in politics and showbiz to heartwarming human interest stories and unmissable watch again moments. 
Join Susanna Reid, Piers Morgan, Ben Shephard, Kate Garraway, Charlotte Hawkins and Sean Fletcher every weekday on ITV from 6am.
Website: http://bit.ly/1GsZuha
YouTube: http://bit.ly/1Ecy0g1
Facebook: http://on.fb.me/1HEDRMb
Twitter: http://bit.ly/1xdLqU3
http://www.itv.com</t>
  </si>
  <si>
    <t>Authorities in Germany are being criticised for their handling of the coronavirus, after another outbreak in North Rhine-Westphalia. The area has had to has reintroduce lockdown measures.
SUBSCRIBE to our YouTube channel for more videos: http://www.youtube.com/skynews
Follow us on Twitter: https://twitter.com/skynews 
Like us on Facebook: https://www.facebook.com/skynews
Follow us on Instagram: https://www.instagram.com/skynews
For more content go to http://news.sky.com and download our apps: 
Apple: https://itunes.apple.com/gb/app/sky-news/id316391924?mt=8
Android https://play.google.com/store/apps/details?id=com.bskyb.skynews.android&amp;hl=en_GB
Sky News videos are now available in Spanish here/Los video de Sky News están disponibles en español aquí https://www.youtube.com/channel/UCzG5BnqHO8oNlrPDW9CYJog</t>
  </si>
  <si>
    <t>Rajan Datar finds out what it will be like to get on a plane after the world finally emerges from lockdown, how New York’s famous yellow cabs are dealing with the new normal and why social distancing is not a problem at the usually packed ancient temple complex of Angkor Wat in Cambodia.</t>
  </si>
  <si>
    <t>Subscribe now for more! http://bit.ly/1NbomQa
A discussion on whether historical statues with links to slavery should be torn down sparks a huge debate, forcing Piers Morgan to passionately defend the monuments.
Broadcast on 05/09/2017
Like, follow and subscribe to Good Morning Britain!
The Good Morning Britain YouTube channel delivers you the news that you’re waking up to in the morning. From exclusive interviews with some of the biggest names in politics and showbiz to heartwarming human interest stories and unmissable watch again moments. 
Join Susanna Reid, Piers Morgan, Ben Shephard, Kate Garraway, Charlotte Hawkins and Sean Fletcher every weekday on ITV from 6am.
Website: http://bit.ly/1GsZuha
YouTube: http://bit.ly/1Ecy0g1
Facebook: http://on.fb.me/1HEDRMb
Twitter: http://bit.ly/1xdLqU3
http://www.itv.com</t>
  </si>
  <si>
    <t>Today's top stories: A major incident has been declared in Bournemouth after thousands of people descended on the area's beaches as temperatures soared, thousands of Liverpool fans have been celebrating outside Anfield after their team won the Premier League for the first time and police officers attempting to disperse crowds at an illegal rave in Notting Hill, west London, have been have been attacked by revellers.
_xD83D__xDD34_ Major incident declared in Bournemouth as thousands flock to beaches https://trib.al/AhRwIps
_xD83D__xDD34_ 2,000 fans celebrate outside Anfield after side win Premier League https://trib.al/y9Gy9qP
_xD83D__xDD34_ Police break up further illegal raves as extra officers deployed across London https://trib.al/ZUkEaMg
SUBSCRIBE to our YouTube channel for more videos: http://www.youtube.com/skynews 
Follow us on Twitter: https://twitter.com/skynews and https://twitter.com/skynewsbreak 
Like us on Facebook: https://www.facebook.com/skynews 
Follow us on Instagram: https://www.instagram.com/skynews 
Sky News videos are now available in Spanish here/Los video de Sky News están disponibles en español aquí https://www.youtube.com/skynewsespanol 
For more content go to http://news.sky.com and download our apps:  
Apple https://itunes.apple.com/gb/app/sky-news/id316391924?mt=8 
Android https://play.google.com/store/apps/details?id=com.bskyb.skynews.android&amp;hl=en_GB</t>
  </si>
  <si>
    <t>As the world anxiously awaits development of a vaccine for COVID-19, new and controversial research measures are being considered for the first time. These include the possibility of deliberately exposing volunteers to the disease to see if they are infected. Amna Nawaz reports on a growing group of people eager to be subjects in tests that might help to heal the world -- but harm themselves.
Stream your PBS favorites with the PBS app: https://to.pbs.org/2Jb8twG
Find more from PBS NewsHour at https://www.pbs.org/newshour
Subscribe to our YouTube channel: https://bit.ly/2HfsCD6
Follow us:
Facebook: http://www.pbs.org/newshour
Twitter: http://www.twitter.com/newshour
Instagram: http://www.instagram.com/newshour
Snapchat: @pbsnews
Subscribe:
PBS NewsHour podcasts: https://www.pbs.org/newshour/podcasts
Newsletters: https://www.pbs.org/newshour/subscribe</t>
  </si>
  <si>
    <t>Dr. Christy interviews Alice Sessi, a survivor of COVID-19 who lives in Austin, TX. Alice had a confirmed case of COVID-19 and as her friend, there were several days I worried she may need to be hospitalized. She will share details of her symptoms, progression and how she is doing now.</t>
  </si>
  <si>
    <t>Dr. Christy discusses the pros and cons of several face coverings and how to prevent infection.</t>
  </si>
  <si>
    <t>WATCH MY UPDATED VIDEO HERE: https://www.youtube.com/watch?v=K1nV4pIprFo
UPDATE 4/14/2020: We now know that people can have COVID-19 without any symptoms. And many cities are recommending face masks when leaving the house.  
Dr Christy will tell us the latest on this Corona Virus including: Who should be tested, An easy way to know if you don't have it, precautions, and the progression of the virus if you do contract it so you'll know what to expect.</t>
  </si>
  <si>
    <t>The whole world is waiting, held hostage by a virus so new to humans we have no immunity to it, and we don't even fully understand it. 
What could free us is a vaccine. And though vaccine development cannot be rushed, speed is of the essence. It's an international race, and Canada is in the running.
Dawna Friesen speaks with Canadian microbiologist Dr. Steven Jones who was a key figure in the creation of a vaccine for the Ebola virus. Jones talks about how surprised he is with the developments to date and how ambitious the timelines are to develop a vaccine. 
Jones says we need to face the possibility that it could be up to 4 years to develop a vaccine and it also may never happen
For more info, please go to http://www.globalnews.ca/coronavirus
Subscribe to Global News Channel HERE: http://bit.ly/20fcXDc
Like Global News on Facebook HERE: http://bit.ly/255GMJQ
Follow Global News on Twitter HERE: http://bit.ly/1Toz8mt
Follow Global News on Instagram HERE: https://bit.ly/2QZaZIB
#GlobalNews #Coronavirus #Vaccine</t>
  </si>
  <si>
    <t>Dr. Christy explains COVID-19 and the new syndrome called Pediatric Multisymptom Inflammatory Syndrome that occurs after COVID-19 infection in children.</t>
  </si>
  <si>
    <t>As scientists race to develop a vaccine for COVID-19, large shipping companies are already ramping up their capabilities to deliver more than a billion vaccines. It is a massive logistical undertaking, requiring precise temperatures and fast planes.»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https://smart.link/5d0cd9df61b80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What It Will Take To Distribute A Coronavirus Vaccine To The Masses | NBC Nightly News</t>
  </si>
  <si>
    <t>After a neighbor posted photos of 18-year-old Antonio Gwynn Jr. cleaning up damages in their hometown following protests, his community took action to support him. Photos of the high school senior spending hours with a broom and trash bags went viral, and donations for the teen poured in.»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https://smart.link/5d0cd9df61b80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New York Teen Rewarded For Good Deed Thanks To Viral Facebook Post | NBC Nightly News</t>
  </si>
  <si>
    <t>States see record high coronavirus cases and hospitalizations, 3 men indicted on murder charges in death of Ahmaud Arbery, and appeals court orders judge to dismiss Michael Flynn case.
Watch “NBC Nightly News With Lester Holt” at 6:30 p.m. ET / 5:30 p.m. CT (or check your local listings).
00:00 Intro
01:56 U.S. Record High Covid Surge With 36,000+ New Cases
03:55 Alarming Rise In Covid Cases Among Younger Americans
05:54 Three Men Indicted For Murder In Ahmaud Arbery Shooting
07:00 Officer Fired In Shooting Death Of Breonna Taylor
08:09 Appeals Court Orders Dismissal In Michael Flynn Case
09:20 Prosecutor Alleges Pressure To Cut Roger Stone 'A Break'
10:01 A.G William Barr To Testify Before House In July
10:20 Trump Welcomes First Foreign Leader Amid Pandemic
10:54 New Poll Show Biden Leading Trump By 14 Points
12:55 Medical Experts Cite New Progress In Treating Covid-19
13:19 FDA: 'No Evidence' Covid Spreads Through Food Or Packing
13:31 Cities Report No Surge In Cases From Massive Protests
13:40 Experts Fear U.S Deaths Could Rise To 300,000 By Winter
14:50 Many Covid Patients Have Symptoms For Month
17:31 Bubba Wallace ‘Relieved’ He Wasn’t Hate Crime Target
» Subscribe to NBC News: http://nbcnews.to/SubscribeToNBC
» Watch more NBC video: http://bit.ly/MoreNBCNews
Connect with NBC Nightly News online! 
NBC News App: https://smart.link/5d0cd9df61b80
Breaking News Alerts: https://link.nbcnews.com/join/5cj/breaking-news-signup?cid=sm_npd_nn_yt_bn-clip_190621
Visit NBCNightlyNews.com: https://nbcnews.to/2wFotQ8
Find Nightly News on Facebook: https://bit.ly/2TZ1PhF
Follow Nightly News on Twitter: https://bit.ly/1yFY2s4
Follow Nightly News on Instagram: https://bit.ly/2tEncJD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NBC Nightly News Broadcast (Full) - June 24th, 2020 | NBC Nightly News</t>
  </si>
  <si>
    <t>While some countries worry about a second wave of the coronavirus, many parts of the globe still haven't seen the worst of the first outbreak yet. DW correspondents filed these coronavirus updates.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#CoronaUpdate</t>
  </si>
  <si>
    <t>Unlisted biotech firm CureVac on Wednesday become the second company after rival BioNTech to launch human trials of an experimental coronavirus vaccine in Germany, eyeing potential regulatory approval in mid-2021.
#WION #DW #CureVac
About Channel: 
WION -The World is One News, examines global issues with in-depth analysis. We provide much more than the news of the day. Our aim to empower people to explore their world. With our Global headquarters in New Delhi, we bring you news on the hour, by the hour. We deliver information that is not biased. We are journalists who are neutral to the core and non-partisan when it comes to the politics of the world. People are tired of biased reportage and we stand for a globalised united world. So for us the World is truly One.
Please keep discussions on this channel clean and respectful and refrain from using racist or sexist slurs as well as personal insults.
Subscribe to our channel at https://goo.gl/JfY3NI
Check out our website: http://www.wionews.com
Connect with us on our social media handles:
Facebook: https://www.facebook.com/WIONews
Twitter: https://twitter.com/WIONews
Follow us on Google News for latest updates
WION: shorturl.at/fwKO0
Zee News English: shorturl.at/aJVY3
Zee News Hindi: shorturl.at/eorM1
Zee Business: shorturl.at/hpqX6
DNA News: shorturl.at/rBOY6
BGR: shorturl.at/eioqL</t>
  </si>
  <si>
    <t>The governor of Texas is pausing the state’s reopening and suspending elective surgeries in four heavily impacted counties, including the Houston area, amid reports of hospitals nearing 100 percent ICU capacity.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https://smart.link/5d0cd9df61b80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Coronavirus Cases Spike In Houston Amid Hospital Capacity Concerns | NBC Nightly News</t>
  </si>
  <si>
    <t>With coronavirus case rates rising in a number of states, some local officials are trying to hold back the surge by pausing reopening or requiring mask use in public. But the Trump administration continues to ignore the numbers. And increasing hostility toward local governments trying to hold off that wave with restrictions ‘comes from the top,’ says public health expert Dr. Kavita Patel.»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http://http://MSNBC.com/NewslettersYouTube
Find MSNBC on Facebook: http://on.msnbc.com/Likemsnbc
Follow MSNBC on Twitter: http://on.msnbc.com/Followmsnbc
Follow MSNBC on Instagram: http://on.msnbc.com/Instamsnbc
Localities Scramble To Curb Rising COVID-19 Rates Amid Vocal Opposition To Restrictions | MSNBC</t>
  </si>
  <si>
    <t>New polling shows former Vice President Joe Biden leading in six battleground states that were key to President Trump’s 2016 victory.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https://smart.link/5d0cd9df61b80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Biden Leading Trump In Key Battleground States | NBC Nightly News</t>
  </si>
  <si>
    <t>New coronavirus cases break records across South and West, outrage over Elijah McClain death as police nationwide face new investigations, and Biden leading Trump in key battleground states.
Watch “NBC Nightly News With Lester Holt” at 6:30 p.m. ET / 5:30 p.m. CT (or check your local listings).
00:00 Intro
01:54 COVID-19 Surges In U.S. As Several States Break Records
02:09 CDC: U.S Cases May Be 10 Times Higher Than Reported
02:33 Coronavirus Cases Exploding In South And West
03:16 CDC Issues New COVID Warning For Pregnant Women
03:35 Florida Doctor Who Died From COVID Hailed As Hero
04:08 Texas Halts Reopening, Hits New Daily COVID Record
05:21 Houston's Hospitals Being Pushed To The Limit
06:04 New Model Predicts Masks Could Save 33,000 Lives
08:14 Millions Demand New Investigation In Elijah Mcclain Death
09:05 NYPD Officer Charged After Using Banned Chokehold
09:41 North Carolina Officers Fired For Racist Remarks
10:28 Biden Leads Trump In Six Key Battle Ground State Polls
12:20 47 Million Unemployment Claims Amid Pandemic
12:52 Extra $600 In Unemployment Benefits Set To Run Out
14:30 Massive Racial Disparity In New Orleans COVID Crisis
17:14 Eiffel Tower Reopens After More Than 100 Days
» Subscribe to NBC News: http://nbcnews.to/SubscribeToNBC
» Watch more NBC video: http://bit.ly/MoreNBCNews
Connect with NBC Nightly News online! 
NBC News App: https://smart.link/5d0cd9df61b80
Breaking News Alerts: https://link.nbcnews.com/join/5cj/breaking-news-signup?cid=sm_npd_nn_yt_bn-clip_190621
Visit NBCNightlyNews.com: https://nbcnews.to/2wFotQ8
Find Nightly News on Facebook: https://bit.ly/2TZ1PhF
Follow Nightly News on Twitter: https://bit.ly/1yFY2s4
Follow Nightly News on Instagram: https://bit.ly/2tEncJD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NBC Nightly News Broadcast (Full) - June 25th, 2020 | NBC Nightly News</t>
  </si>
  <si>
    <t>NBC News’ Jacob Ward details new data from 15 million cell phones that shows some Americans are gathering at pre-pandemic levels as the coronavirus begins to spike in new states across the country.
» Subscribe to NBC News: http://nbcnews.to/SubscribeToNBC
» Watch more NBC video: http://bit.ly/MoreNBCNews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Connect with NBC News Online!
NBC News App: https://apps.nbcnews.com/mobile
Breaking News Alerts: https://link.nbcnews.com/join/5cj/breaking-news-signup?cid=sm_npd_nn_yt_bn-clip_190621
Visit NBCNews.Com: http://nbcnews.to/ReadNBC
Find NBC News on Facebook: http://nbcnews.to/LikeNBC
Follow NBC News on Twitter: http://nbcnews.to/FollowNBC
Follow NBC News on Instagram: http://nbcnews.to/InstaNBC
New Data Suggests Americans Are Gathering At Pre-Pandemic Levels | NBC News NOW</t>
  </si>
  <si>
    <t>Can a runner give you Covid-19?
Subscribe to our channel! http://goo.gl/0bsAjO
If you want to stay totally safe from Covid-19, and eliminate the risk of either getting it or transmitting it, you have to stay home. But as the weather gets warmer, public places start to open up, and many places enter their fourth month of life under coronavirus, that’s becoming less and less realistic.
At the same time, we know that coronavirus can be transmitted through the air -- and that raises some pretty big questions. Is it safe to go the beach? What about a park? Is a heavy-breathing runner going to infect you as they pass you? In short: How do you go outside safely?
Read Vox reporter Sigal Samuel’s article about the risks of transmitting Covid-19 outdoors: https://www.vox.com/future-perfect/2020/4/24/21233226/coronavirus-runners-cyclists-airborne-infectious-dose
A helpful chart for thinking through the risks of different scenarios when it comes to Covid-19: https://www.vox.com/2020/5/22/21266756/coronavirus-pandemic-covid-risks-social-distancing-chart
The CDC’s study about the Guangzhou restaurant where one person transmitted the virus to several others: https://wwwnc.cdc.gov/eid/article/26/7/20-0764_article
And the study of the 318 outbreaks in China: https://www.medrxiv.org/content/10.1101/2020.04.04.20053058v1
Vox.com is a news website that helps you cut through the noise and understand what's really driving the events in the headlines. Check out http://www.vox.com.
Watch our full video catalog: http://goo.gl/IZONyE
Follow Vox on Facebook: http://goo.gl/U2g06o
Or Twitter: http://goo.gl/XFrZ5H</t>
  </si>
  <si>
    <t>Professor Gilbert has been a part of Oxford’s vaccine community since 1994, working closely with Professor Adrian Hill, Director of the Jenner Institute. Receiving her professorship in 2010, Gilbert has spent the past decade and a half working on novel influenza vaccinations. Now, she’s working on a modified version of the ChAdOx1 vaccine (ChAdOx1 nCoV-19) to counteract the COVID-19 pandemic. Thanks to previous work in this area and the efforts of Oxford colleagues, her team have been able to condense their timelines in developing a vaccine considerably – reducing a timeline of about five years in normal conditions to three months. This vaccine is already entering into human trials, and will rapidly progress through its Phase II/III studies throughout the spring and summer months of 2020, with a potential candidate ready to go by the autumn. So send in your questions for Sarah, and we’ll try to get through as many as we can!
Please Support Now: Oxford has over 150 researchers working on the urgent response to the Coronavirus outbreak. Public donations of any size will be rapidly put to use in our frontline research. You can make a gift today at http://www.research.ox.ac.uk/giving 
To find more talks in our Covid Conversations series, go to https://bit.ly/COVIDconversations</t>
  </si>
  <si>
    <t>The Coronavirus Pandemic is still in full force and scientists and researchers are doing whatever they can to develop a vaccine, but in today's video we are going to take a look at a bleak scenario in which a vaccine for Covid-19 is NEVER developed. What would the world be like without a vaccination for this deadly disease? Watch today's new video to find out.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https://pastebin.com/eDbTPBPc
All videos are based on publicly available information unless otherwise noted.</t>
  </si>
  <si>
    <t>Coronavirus cases surge in multiple states, CDC releases guidelines for reducing COVID-19 risk in daily life, and President Trump plans to issue an executive order on police reform.
Watch “NBC Nightly News With Lester Holt” at 6:30 p.m. ET / 5:30 p.m. CT (or check your local listings).
00:00 Intro
01:32 14 States Report Alarming Surge In Covid-19 Cases
05:17 CDC Releases New Guidelines For Return To Daily Life
06:00 No CDC Or Task Force Briefings On Camera In Weeks
07:07 W.H.O.: 36 Percent Jump In Daily U.S Cases From June 6-9
07:33 Trump: Chokeholds Should ‘Generally’ Be ‘Ended’
08:19 Trump's New Messages To Protesters And Police
09:22 Trump Says Abraham Lincoln's Legacy 'Questionable'
10:20 Trump Responds To Top General’s Photo-Op Apology
10:58 Trump To speak At West Point Graduation Tomorrow
12:23 Wall Street Rebounds After Biggest Plunge In Months
12:51 Seattle In Standoff With Protesters Occupying Blocks
14:50 ‘Breonna’s Law’ Bans ‘No-Knock’ Warrants In Louisville
17:11 Pride Month Returns To Its Protest Roots
» Subscribe to NBC News: http://nbcnews.to/SubscribeToNBC
» Watch more NBC video: http://bit.ly/MoreNBCNews
Connect with NBC Nightly News online! 
NBC News App: https://smart.link/5d0cd9df61b80
Breaking News Alerts: https://link.nbcnews.com/join/5cj/breaking-news-signup?cid=sm_npd_nn_yt_bn-clip_190621
Visit NBCNightlyNews.com: https://nbcnews.to/2wFotQ8
Find Nightly News on Facebook: https://bit.ly/2TZ1PhF
Follow Nightly News on Twitter: https://bit.ly/1yFY2s4
Follow Nightly News on Instagram: https://bit.ly/2tEncJD
NBC News Digital is a collection of innovative and powerful news brands that deliver compelling, diverse and engaging news stories. NBC News Digital features NBCNews.com, MSNBC.com, TODAY.com, Nightly News, Meet the Press, Dateline, and the existing apps and digital extensions of these respective properties. We deliver the best in breaking news, live video coverage, original journalism and segments from your favorite NBC News Shows.  
NBC Nightly News Broadcast (Full) - June 12th, 2020 | NBC Nightly News</t>
  </si>
  <si>
    <t>Subscribe to our YouTube channel for free here: 
https://sc.mp/subscribe-youtube
Globally, 30 countries are involved in coronavirus vaccine development, including China where 20 research teams are rushing to develop an injection that would prevent Covid-19 infections. Scientists at Yisheng Biopharma, a company based in China's northeastern city Shenyang, are among those working around the clock on coronavirus vaccine development projects.
Follow us on:
Website:  https://scmp.com
Facebook:  https://facebook.com/scmp
Twitter:  https://twitter.com/scmpnews
Instagram:  https://instagram.com/scmpnews
Linkedin:  https://www.linkedin.com/company/south-china-morning-post/</t>
  </si>
  <si>
    <t>This is the story of 21-year-old @hrishigiridhar who was tested positive of COVID-19  on 21st March after he returned from London. He shares his journey of survival. Hrishi shares with us the kind of symptoms he developed and how he was treated with the best treatment from the doctors &amp; nurses at the  Kasturba Hospital all free of cost. 
#Coronavirus #Recovery #Mumabi #Covid19 #CovidRecovery 
For daily updates:
Follow us on Facebook ►http://bit.ly/2PEaDGT
Follow us on Instagram ► http://bit.ly/2NQcckE
Subscribe Us on YT ► http://bit.ly/CurlyTales
For more such stories ► http://bit.ly/2MM7yrk</t>
  </si>
  <si>
    <t>After the UK’s daily death rate has dropped to its lowest figure since before lockdown, could some good news finally be on the horizon? As it’s revealed that pharmaceutical giant Astrazeneca hope to deliver hundreds of millions of vaccine doses to EU countries before the end of the year, and with the announcement that pubs in Northern Ireland will open from 3rd July, Dr Philippa discusses the science behind this and other recent developments. 
Broadcast on 16/06/20
Subscribe now for more! http://bit.ly/1JM41yF
Like, follow and subscribe to This Morning!
Website: http://bit.ly/1MsreVq
YouTube: http://bit.ly/1BxNiLl 
Facebook: http://on.fb.me/1FbXnjU
Twitter: http://bit.ly/1Bs1eI1
This Morning - every weekday on ITV and STV from 10:00am.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</si>
  <si>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CNBC's Jim Cramer says he does not believe the economy will be able to fully return to normal until there is a Covid-19 vaccine.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</si>
  <si>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India Willoughby says JKR makes valid points about self-identity and the rise in young trans girls, but Nicole Gibson argues she needs "to stay in her lane and stick to writing about magic and things that aren’t real." Professor Kathleen Stock of Sussex University says the backlash is disgusting. 
Subscribe now for more! http://bit.ly/1NbomQa
Broadcast on 15/06/2020
Like, follow and subscribe to Good Morning Britain!
The Good Morning Britain YouTube channel delivers you the news that you’re waking up to in the morning. From exclusive interviews with some of the biggest names in politics and showbiz to heartwarming human interest stories and unmissable watch again moments. 
Join Susanna Reid, Piers Morgan, Ben Shephard, Kate Garraway, Charlotte Hawkins and Sean Fletcher every weekday on ITV from 6am until 9 every weekday!
ITV Hub: https://bit.ly/37kf3wD
Website: http://bit.ly/1GsZuha
YouTube: http://bit.ly/1Ecy0g1
Facebook: http://on.fb.me/1HEDRMb
Twitter: http://bit.ly/1xdLqU3
http://www.itv.com
#GMB #PiersMorgan #SusannaReid</t>
  </si>
  <si>
    <t>Could human challenge trials help find a Covid-19 vaccine faster? Some scientists say it is a huge risk
Subscribe: http://trt.world/subscribe
Livestream: http://trt.world/ytlive
Facebook: http://trt.world/facebook
Twitter: http://trt.world/twitter
Instagram: http://trt.world/instagram
Visit our website: http://trt.world</t>
  </si>
  <si>
    <t>Non-essential shops will begin reopening across England today but if you’re hoping for a bit of retail therapy, your experience on the shop floor is about to feel very different. Alice Beer is at John Lewis in Kingston to find out about the safety measures in place to protect customers.
Broadcast on 15/06/20
Subscribe now for more! http://bit.ly/1JM41yF
Like, follow and subscribe to This Morning!
Website: http://bit.ly/1MsreVq
YouTube: http://bit.ly/1BxNiLl 
Facebook: http://on.fb.me/1FbXnjU
Twitter: http://bit.ly/1Bs1eI1
This Morning - every weekday on ITV and STV from 10:00am.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</si>
  <si>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Subscribe now for more! http://bit.ly/1JM41yF
Holly &amp; Phillip are still drunk after the NTAs, a woman who can't feel pain eats one of the hottest chillies, Kim Woodburn lashes out at Phillip and more viral moments.
Like, follow and subscribe to This Morning!
Website: http://bit.ly/1MsreVq
YouTube: http://bit.ly/1BxNiLl
Facebook: http://on.fb.me/1FbXnjU
Twitter: http://bit.ly/1Bs1eI1
This Morning - every weekday on ITV and STV from 10:30am.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</si>
  <si>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With only ten deaths and just a few active cases remaining, Iceland is being held up as an example of how to successfully manage the coronavirus and as of yesterday, the country is now allowing tourists to visit the country too. We’re joined by Iceland’s Prime Minister Katrín Jakobsdótti to hear about how she’s managed the outbreak and why ‘humility and listening to the science’ have been the keys to leading her country through the crisis.
Broadcast on 15/06/20
Subscribe now for more! http://bit.ly/1JM41yF
Like, follow and subscribe to This Morning!
Website: http://bit.ly/1MsreVq
YouTube: http://bit.ly/1BxNiLl 
Facebook: http://on.fb.me/1FbXnjU
Twitter: http://bit.ly/1Bs1eI1
This Morning - every weekday on ITV and STV from 10:00am.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</si>
  <si>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Yesterday, Prime Minister Boris Johnson announced that Britain had made its ‘biggest breakthrough yet’ in the UK’s coronavirus crisis. Scientists say that Dexamethasone, a £5 steroid medication from the 60s, is the first drug proven to increase the survival rate for hospitalised Covid-19 patients. Oxford Professor Carl Heneghan joins us with the latest news on the groundbreaking treatment that could save thousands, and we’re joined by Peter Herring - a grandfather of two from Cambridgeshire, who claims the drug saved his life when COVID struck.
Broadcast on 17/06/20
Subscribe now for more! http://bit.ly/1JM41yF
Like, follow and subscribe to This Morning!
Website: http://bit.ly/1MsreVq
YouTube: http://bit.ly/1BxNiLl 
Facebook: http://on.fb.me/1FbXnjU
Twitter: http://bit.ly/1Bs1eI1
This Morning - every weekday on ITV and STV from 10:00am.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</si>
  <si>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The first human trial in Europe of a coronavirus vaccine has begun in Oxford.  Two volunteers, who are both scientists, have been injected with the experimental vaccine. 
They are the first of more than 800 adults aged between 18 and 55 who have been recruited for the study.  Half the group will receive the Covid-19 vaccine, and half will get a control vaccine which protects against meningitis. The results won't be known for several months.
Meanwhile the UK government has said that millions of key workers and their families will be eligible for a coronavirus test if they develop symptoms. 
The Health Secretary Matt Hancock announced that they would be able to book a test online. More testing centres are being opened and the army will be helping establish mobile testing facilities.  
Sophie Raworth presents BBC News at Ten reports from Medical Correspondent Fergus Walsh and Health Editor Hugh Pym.
Please subscribe HERE http://bit.ly/1rbfUog</t>
  </si>
  <si>
    <t>Subscribe now for more! http://bit.ly/1JM41yF
In 2010, a US couple, Kristine and Michael Barnett thought their family was finally complete when they adopted a six year old Ukrainian child, Natalia who lives with dwarfism. It quickly became clear however that things weren't as they seemed as the parents discovered that their 'six year old' daughter has adult teeth, pubic hair and has started her menstrual cycle. Things got worse when Kristine and Michael say Natalia started to terrorise them daily, allegedly threatening to stab them in their sleep and pour poison in their coffee. After taking her for tests, the court ruled that Natalia wasn't the six year old they thought she was but in fact a 22 year old woman. The parents set her up in her own house away from them, but once police discovered her living alone, Kristine and Michael were charged with neglect. Natalia's mother back in Ukraine claims she is the six year old they adopted, but what is the truth?
Broadcast on 14/10/19
Like, follow and subscribe to This Morning!
Website: http://bit.ly/1MsreVq
YouTube: http://bit.ly/1BxNiLl
Facebook: http://on.fb.me/1FbXnjU
Twitter: http://bit.ly/1Bs1eI1
This Morning - every weekday on ITV and STV from 10:30am.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
#thismorning #phillipandholly #eamonnandruth</t>
  </si>
  <si>
    <t>Germany’s R-Rate has exploded to 1.79, almost doubling in a day since Friday, amid fears of a second wave. It has been linked to a number of localised outbreaks, including one at an abattoir near Dortmund. What does this mean for us, is it the start of a second wave? 
Subscribe now for more! http://bit.ly/1NbomQa
Broadcast on 22/06/2020
Like, follow and subscribe to Good Morning Britain!
The Good Morning Britain YouTube channel delivers you the news that you’re waking up to in the morning. From exclusive interviews with some of the biggest names in politics and showbiz to heartwarming human interest stories and unmissable watch again moments. 
Join Susanna Reid, Piers Morgan, Ben Shephard, Kate Garraway, Charlotte Hawkins and Sean Fletcher every weekday on ITV from 6am until 9 every weekday!
ITV Hub: https://bit.ly/37kf3wD
Website: http://bit.ly/1GsZuha
YouTube: http://bit.ly/1Ecy0g1
Facebook: http://on.fb.me/1HEDRMb
Twitter: http://bit.ly/1xdLqU3
http://www.itv.com
#GMB #PiersMorgan #SusannaReid</t>
  </si>
  <si>
    <t>A phase 3 clinical study to test a COVID-19 vaccine candidate from biotech company Moderna will be coming to Chicago. Full story: https://abc7chicago.com/health/covid-19-vaccine-candidate-to-be-tested-in-chicago-/6248326/</t>
  </si>
  <si>
    <t>President Donald Trump commented on the progress toward developing a vaccine for the Covid-19 virus.
President Donald Trump on Tuesday falsely suggested that scientists have developed a vaccine for AIDS, the late stage of HIV infection in which the virus badly damages the immune system.
“They’ve come up with the AIDS vaccine,” Trump said during a press conference on police reform, referring to scientists. “As you know, there’s various things, and now various companies are involved.”
Trump later appeared to backtrack those comments, saying, “AIDS was a death sentence, and now people live a life with a pill. It’s an incredible thing.”
The White House did not respond to CNBC’s request for comment on Trump’s statement.
It’s possible Trump was referring to daily antiretroviral drugs, which have proved very effective in controlling HIV, a disease that was considered a death sentence nearly 40 years ago. Left unchecked, the virus progresses into AIDS, an advanced form of the disease.
People at risk of HIV can also now take prevention medication, also known as pre-exposure prophylaxis or PrEP. PrEP can reduce the risk of infection by at least 74% in people who take the drug consistently, according to the Centers for Disease Control and Prevention.
Roughly 1.1 million people in the U.S. are currently living with HIV, and nearly 40,000 Americans become infected with the virus each year, according to government data.
Last year, Trump pledged to end the HIV epidemic in the United States by 2030, a goal that public health advocates have cheered and sought for years.
The comment came as the U.S. also works to develop a vaccine for the deadly coronavirus, which has infected more than 2.1 million Americans and killed at least 116,341, according to data compiled by Johns Hopkins University. 
Earlier Tuesday, Trump administration officials said the coronavirus vaccine will be provided free of charge to Americans who can’t afford it.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</si>
  <si>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President Donald Trump criticized CNN's Jim Acosta for asking how Trump would defend his past statements that downplayed the coronavirus in the early phases of the US outbreak.
#CNN #News</t>
  </si>
  <si>
    <t>Our draft-dodging President insisted on delivering a speech to graduating Army cadets, but his frail appearance when drinking water and descending a ramp overshadowed the message Donald Trump sought to deliver. #Colbert #StephenAtHome #Monologue
Subscribe To "The Late Show" Channel HERE: http://bit.ly/ColbertYouTube
For more content from "The Late Show with Stephen Colbert", click HERE: http://bit.ly/1AKISnR
Watch full episodes of "The Late Show" HERE: http://bit.ly/1Puei40
Like "The Late Show" on Facebook HERE: http://on.fb.me/1df139Y
Follow "The Late Show" on Twitter HERE: http://bit.ly/1dMzZzG
Follow "The Late Show" on Google+ HERE: http://bit.ly/1JlGgzw
Follow "The Late Show" on Instagram HERE: http://bit.ly/29wfREj
Follow "The Late Show" on Tumblr HERE: http://bit.ly/29DVvtR
Watch The Late Show with Stephen Colbert weeknights at 11:35 PM ET/10:35 PM CT. Only on CBS.
Get the CBS app for iPhone &amp; iPad! Click HERE: http://bit.ly/12rLxge
Get new episodes of shows you love across devices the next day, stream live TV, and watch full seasons of CBS fan favorites anytime, anywhere with CBS All Access. Try it free! http://bit.ly/1OQA29B
---
The Late Show with Stephen Colbert is the premier late night talk show on CBS, airing at 11:35pm EST, streaming online via CBS All Access, and delivered to the International Space Station on a USB drive taped to a weather balloon. Every night, viewers can expect: Comedy, humor, funny moments, witty interviews, celebrities, famous people, movie stars, bits, humorous celebrities doing bits, funny celebs, big group photos of every star from Hollywood, even the reclusive ones, plus also jokes.</t>
  </si>
  <si>
    <t>President-elect Trump has been calling President Obama for advice and to ask a few standard questions, like who are those people in black robes?
More CONAN @ http://teamcoco.com/video
Team Coco is the official YouTube channel of late night host Conan O'Brien, CONAN on TBS &amp; TeamCoco.com. Subscribe now to be updated on the latest videos: http://bit.ly/W5wt5D
For Full Episodes of CONAN on TBS, visit http://teamcoco.com/video
Get Social With Team Coco:
On Facebook: ‪https://www.facebook.com/TeamCoco‬
On Google+: https://plus.google.com/+TeamCoco/
On Twitter: http://twitter.com/TeamCoco
On Tumblr: http://teamcoco.tumblr.com
On YouTube: http://youtube.com/teamcoco
Follow Conan O'Brien on Twitter: http://twitter.com/ConanOBrien</t>
  </si>
  <si>
    <t>UC Berkeley School of Law Professor Frank Partnoy outlines how banks are making mistakes similar to those leading up to the 2008 financial crisis -- only this time with a new type of security that could break bank balance sheets beyond repair.
For access to live and exclusive video from CNBC subscribe to CNBC PRO: 
https://cnb.cx/2JdMwO7 
» Subscribe to CNBC TV: https://cnb.cx/SubscribeCNBCtelevision
» Subscribe to CNBC: https://cnb.cx/SubscribeCNBC
» Subscribe to CNBC Classic: https://cnb.cx/SubscribeCNBCclassic
Turn to CNBC TV for the latest stock market news and analysis. From market futures to live price updates CNBC is the leader in business news worldwide.
Connect with CNBC News Online
Get the latest news: http://www.cnbc.com/
Follow CNBC on LinkedIn: https://cnb.cx/LinkedInCNBC
Follow CNBC News on Facebook: https://cnb.cx/LikeCNBC
Follow CNBC News on Twitter: https://cnb.cx/FollowCNBC
Follow CNBC News on Instagram: https://cnb.cx/InstagramCNBC
#CNBC
#CNBC TV</t>
  </si>
  <si>
    <t>Trump’s formerly trusted NSA Adviser John Bolton has released a new book shining light on Trump’s efforts to allegedly collude with Ukraine and China to win the 2020 Elelction. As John Bolton turns on his former boss, MSNBC’s Ari Melber reports on how throughout his presidency, Trump has went from praising his staff members to bashing them for not being “mentally qualified” for the job after they leave his administration. Republican Governor of New Jersey and the former EPA Administrator in the Bush administration, Christine Todd Whitman joins discusses why Trump has “no loyalty to anybody,” even his once most trusted aides. (This interview is from MSNBC’s “The Beat with Ari Melber, a news show covering politics, law and culture airing nightly at 6pm ET on MSNBC. http://www.thebeatwithari.com). Aired on 6/19/2020.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Bridges Burned: Watch Trump Hire 'Best People' And Trash Them As 'Not Qualified' On Their Way Out</t>
  </si>
  <si>
    <t>President Donald Trump again said that if the US stopped testing for the Covid-19 coronavirus, there would be less cases. CNN's Anderson Cooper sets the record straight.
#AC360 #CNN #News</t>
  </si>
  <si>
    <t>Former Republican Secretary of State Colin Powell said Sunday that President Donald Trump has "drifted away" from the Constitution, adding to a growing list of former top military officials who have strongly criticized the President's response to the nationwide protests surrounding the police killing of George Floyd.
"We have a Constitution. And we have to follow that Constitution. And the President has drifted away from it," Powell, a retired general who served under President George W. Bush, told CNN's Jake Tapper on "State of the Union."
The comments from Powell, the first African American secretary of state and chairman of the Joint Chiefs of Staff, add to a growing list of rebukes made in recent days by former top officials who have expressed discontent with Trump's strongman approach to the protests sparked by the death of Floyd, a black man who was killed in late May by a white police officer in Minneapolis.
#Powell #CNN #Tapper</t>
  </si>
  <si>
    <t>Reverend Rob Schenck, a former evangelical activist, discusses President Trump's photo-op after police forcibly moved protesters and what evangelicals are now saying about Trump.
#Trump #CNN #News</t>
  </si>
  <si>
    <t>CNN's Anderson Cooper calls out President Donald Trump and Vice President Mike Pence for lying about the coronavirus in the face of the statistical data and says they aren't interested in protecting Americans.
#AC360 #Coronavirus #CNN #News</t>
  </si>
  <si>
    <t>Mary Trump, daughter of the President’s oldest brother, has reportedly been writing a tell-all book that exposes family secrets, including that she was a primary source for the 2018 Pulitzer Prize-winning New York Times investigation into Donald Trump’s taxes. In 2000, Donald Trump and his siblings retaliated against Mary for contesting her father’s will by cutting off medical insurance to her side of the family just after Mary’s nephew was diagnosed with cerebral palsy.</t>
  </si>
  <si>
    <t>Subscribe to our YouTube channel for free here: https://sc.mp/subscribe-youtube
US President Donald Trump snapped at the media during a chaotic midterm elections news conference at the White House.</t>
  </si>
  <si>
    <t>In today’s #JimmyKimmelLiveFromHisHouse monologue, Jimmy talks about things opening up in California, Donald Trump's commencement speech at West Point where he struggled taking a sip of water and walking down a ramp, and Jimmy reads some of the birthday cards Trump received on his 74th birthday. Jimmy is making a donation to a worthwhile cause every day during this quarantine. Today our guest Bill Burr chose St. Jude Children’s Research Hospital. Please help them treat kids with cancer and other pediatric diseases. Go here to donate -  https://www.stjude.org/
SUBSCRIBE to get the latest #Kimmel: http://bit.ly/JKLSubscribe
Watch Mean Tweets: http://bit.ly/KimmelMT10
Connect with Jimmy Kimmel Live Online:
Visit the Jimmy Kimmel Live WEBSITE: http://bit.ly/JKLWebsite
Like Jimmy Kimmel on FACEBOOK: http://bit.ly/KimmelFB
Like Jimmy Kimmel Live on FACEBOOK: http://bit.ly/JKLFacebook
Follow @JimmyKimmel on TWITTER: http://bit.ly/KimmelTW
Follow Jimmy Kimmel Live on TWITTER: http://bit.ly/JKLTwitter
Follow Jimmy Kimmel Live on INSTAGRAM: http://bit.ly/JKLInstagram
About Jimmy Kimmel Live:
Jimmy Kimmel serves as host and executive producer of Emmy®-nominated “Jimmy Kimmel Live!,” ABC’s late-night talk show. “Jimmy Kimmel Live!” is well known for its huge viral video successes, with over 11 billion views and more than 15 million subscribers on the show’s YouTube channel. Some of Kimmel’s most popular comedy bits include “Celebrities Read Mean Tweets,” “Lie Witness News,” “Unnecessary Censorship,” “Halloween Candy YouTube Challenge,” and music videos like “I (Wanna) Channing All Over Your Tatum.”</t>
  </si>
  <si>
    <t>In 2004, a one-term senator from Illinois took the stage to deliver the keynote speech at the Democratic National Convention in Boston. By the time Barack Obama had finished speaking, Democrats across the country knew they had seen the future of their party. 
Political speech experts featured in this episode include:
Michael A. Cohen
Author, Live From The Campaign Trail 
Mario Cuomo
Former Governor of New York 
Robert Lehrman
Chief Speechwriter for Vice President Gore and Professor of Speechwriting, American University
Charlton McIlwain
Professor of Communication, New York University
Jeff Shesol
Speechwriter for President Clinton and Founding Partner, West Wing Writers
PODIUM is a bi-weekly series that embraces the art of public speaking and honors those with something to say. From historic political speeches, to contemporary commencement addresses, to wedding toasts, the series explores various genres of speechmaking and provides inspiring, insightful analysis including "how-to" content.
Created and produced by @radical.media, THNKR gives you extraordinary access to the people, stories, places and thinking that will change your mind.
Subscribe to THNKR here: http://www.youtube.com/subscription_center?add_user=thnkrtv
Follow THNKR on Twitter: http://www.twitter.com/thnkr
Like us on Facebook: http://www.facebook.com/thnkrtv
Check out the RadicalMedia Instagram page here: https://www.instagram.com/radicalmedia/?hl=en</t>
  </si>
  <si>
    <t>Democratic presidential candidate Joe Biden blasted President Donald Trump over his administration's response to the Covid-19 coronavirus pandemic, citing recent comments where Trump suggested if the US stopped testing, the number of cases would go down. 
#Biden #CNN #News</t>
  </si>
  <si>
    <t>President Trump defends his tweets calling on Democratic congresswomen to 'go back' to where they came from during an exchange with the press at the White House. #FoxNews
FOX News operates the FOX News Channel (FNC), FOX Business Network (FBN), FOX News Radio, FOX News Headlines 24/7, FOXNews.com and the direct-to-consumer streaming service, FOX Nation. FOX News also produces FOX News Sunday on FOX Broadcasting Company and FOX News Edge. A top five-cable network, FNC has been the most watched news channel in the country for 17 consecutive years. According to a 2018 Research Intelligencer study by Brand Keys, FOX News ranks as the second most trusted television brand in the country. Additionally, a Suffolk University/USA Today survey states Fox News is the most trusted source for television news or commentary in the country, while a 2017 Gallup/Knight Foundation survey found that among Americans who could name an objective news source, FOX News is the top-cited outlet. FNC is available in nearly 90 million homes and dominates the cable news landscape while routinely notching the top ten programs in the genre.
Subscribe to Fox News!  https://bit.ly/2vBUvAS
Watch more Fox News Video: http://video.foxnews.com
Watch Fox News Channel Live: http://www.foxnewsgo.com/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t>
  </si>
  <si>
    <t>President Donald Trump addresses calls for police reform following death of George Floyd during an exclusive interview with Harris Faulkner.
Subscribe to Fox News! https://bit.ly/2vBUvAS
Watch more Fox News Video: http://video.foxnews.com
Watch Fox News Channel Live: http://www.foxnewsgo.com/
FOX News Channel (FNC) is a 24-hour all-encompassing news service delivering breaking news as well as political and business news. The number one network in cable, FNC has been the most-watched television news channel for 18 consecutive years. According to a 2020 Brand Keys Consumer Loyalty Engagement Index report, FOX News is the top brand in the country for morning and evening news coverage. A 2019 Suffolk University poll named FOX News as the most trusted source for television news or commentary, while a 2019 Brand Keys Emotion Engagement Analysis survey found that FOX News was the most trusted cable news brand. A 2017 Gallup/Knight Foundation survey also found that among Americans who could name an objective news source, FOX News was the top-cited outlet. Owned by FOX Corporation, FNC is available in nearly 90 million homes and dominates the cable news landscape, routinely notching the top ten programs in the genre.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https://www.instagram.com/foxnews/om/</t>
  </si>
  <si>
    <t>Dig into the three key phases of developing a new vaccine: exploratory research, clinical testing, and manufacturing. 
--
When a new pathogen emerges, our bodies and healthcare systems are left vulnerable. And when this pathogen causes the outbreak of a pandemic, there’s an urgent need for a vaccine to create widespread immunity with minimal loss of life. So how quickly can we develop vaccines when we need them most? Dan Kwartler describes the three phases of vaccine development. 
Lesson by Dan Kwartler, directed by Good Bad Habits.
Animator's website: https://www.goodbadhabits.ca/
Sign up for our newsletter: http://bit.ly/TEDEdNewsletter
Support us on Patreon: http://bit.ly/TEDEdPatreon
Follow us on Facebook: http://bit.ly/TEDEdFacebook
Find us on Twitter: http://bit.ly/TEDEdTwitter
Peep us on Instagram: http://bit.ly/TEDEdInstagram
View full lesson: https://ed.ted.com/lessons/how-fast-can-a-vaccine-be-made-dan-kwartler
Thank you so much to our patrons for your support! Without you this video would not be possible! Derek Drescher, Mihail Radu Pantilimon, Amin Shahril, Mohamed Elsayed, Barthélémy Michalon, Chumi Ogbonna, Karlee Finch, Mohammad Said, jj5252, Kelvin Lam, Mauricio Basso, Athena Grace Franco, Tirath Singh Pandher, Melvin Williams, Tsz Hin Edmund Chan, Nicolas Silva, Raymond Lee, Kurt Almendras, Denise A Pitts, Abdallah Absi, Dee Wei, Richard A Berkley, Tim Armstrong, Daniel Nester, Hashem Al, denison martins fernandes, Doug Henry, Arlene Spiegelman, Michał Friedrich, Joshua Wasniewski, Maryam Dadkhah, Kristiyan Bonev, Keven Webb, Mihai Sandu, Deepak Iyer, Javid Gozalov, Emilia Alvarado, Jaime Arriola, Mirzat Tulafu, Lewis Westbury, Felipe Hoff, Rebecca Reineke, Cyrus Garay, Victoria Veretilo, Michael Aquilina, William Biersdorf, Patricia Alves Panagides, Valeria Sloan Vasquez, Mike Azarkman and Yvette Mocete.</t>
  </si>
  <si>
    <t>The Wuhan Coronavirus is continuing to spread across the globe. If you've been watching the news then you have seen the infection rate rising, and the number of cities being quarantined, but what does having the virus actually feel like? In today's video we're going to show you how the virus would actually affect you.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https://pastebin.com/UTPaRcNJ
All videos are based on publicly available information unless otherwise noted.</t>
  </si>
  <si>
    <t>What is actually happening at the Area 51? Are there aliens at the Area 51 and is the US military hiding them? What will happen if people Storm Area 51? Let's find out in today's animated educational video, where we take a look at just what is happening and everything that we know about Area 51! 
TIME STAMPS:
0:00 What Happens At And What Do We Know About Area 51
6:57 Why Storming Area 51 Is a Bad Idea
19:21 Evidence That Aliens Have Made Contact
30:26 The Alien Encounter That Has Never Been Explained
37:17 Is There Evidence That Aliens Did Come To Roswell? 
43:53 Proof That The US Military Is Hiding Aliens 
_xD83D__xDD14_ SUBSCRIBE TO US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t>
  </si>
  <si>
    <t>Get a 30-day free trial of Dashlane here: https://www.dashlane.com/infographics
Use the code "infographics" for 10% off of Dashlane Premium!
Do you stand a chance breaking into the most secure place in the world? Before you get your hands on those gold bricks here are some things you need to know before you try and rob Fort Knox. 
_xD83D__xDD14_ SUBSCRIBE TO US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https://pastebin.com/i6aEZPUF</t>
  </si>
  <si>
    <t>While things are a little crazy in the world, with COVID-19 taking up all of the news across the globe, we look to the past to offer some guidance on how to best get through these tough times. In today's video we're looking at some of the worst epidemics and pandemics in history, and we'll see how the Coronavirus compares to the Black Plague and other diseases that were much worse.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https://pastebin.com/0mDNxgr4
All videos are based on publicly available information unless otherwise noted.</t>
  </si>
  <si>
    <t>What happened to the lottery winners in the past? Is winning the lottery actually a curse? How do people pick the winning lottery numbers? What if you won the mega millions jackpot? What would you do with the lottery money?
Do you think something like this could happen to you if you won the jackpot in the mega millions drawing? What would happen to you and your family if you had the winning numbers in the mega millions lottery? 
SUBSCRIBE TO US -► http://bit.ly/TheInfographicsShow
--------------------------------------------------------------------------
WEBSITE (SUGGEST A TOPIC):
http://theinfographicsshow.com 
SUPPORT US: 
Patreon.......► https://www.patreon.com/theinfographicsshow 
SOCIAL:
Twitter........► https://twitter.com/TheInfoShow
Subreddit...► http://reddit.com/r/TheInfographicsShow
--------------------------------------------------------------------------
Sources for this episode:
https://pastebin.com/aWUe6dq4</t>
  </si>
  <si>
    <t>There are so many classified documents and events in history that the military keeps under lock and key, but in today's crazy video we uncovering secret stories and first hand accounts from former military officers sharing their insane real life experiences involving unexplainable UFO and alien sightings at nuclear weapon sites in the United States and Russia. How much longer will the military wait to release information about aliens to the public? We want to believe!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https://pastebin.com/3EscB4sa
All videos are based on publicly available information unless otherwise noted.</t>
  </si>
  <si>
    <t>Today we decided to have some fun and explore what would happen if you were 1000 ft tall. It's a strange and fantastical question that only the Infographics Show could explore! Watch and find out what life would be like if you were a giant!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https://pastebin.com/x8znWZbN
All videos are based on publicly available information unless otherwise noted.</t>
  </si>
  <si>
    <t>Some people are born with the gift of persuasion, and in today's insane episode you'll find out how powerful that gift really is. A scammer manages to sell a fake airport for millions and almost gets away with it, but even behind bars, the scamming doesn't stop!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https://pastebin.com/FhW61em2
All videos are based on publicly available information unless otherwise noted.</t>
  </si>
  <si>
    <t>The Zodiac Killer is one of the most interesting and frightening real life serial killers who has never been caught. There has been hundreds of suspects, but police and investigators have never been able to prove they had caught the real Zodiac Killer, until now! In today's video we're looking at some new evidence from new witnesses saying they know the true identity of the infamous killer! 
_xD83D__xDD14_ SUBSCRIBE TO THE INFOGRAPHICS SHOW ► https://www.youtube.com/c/theinfographicsshowOFFICIAL?sub_confirmation=1
_xD83D__xDD16_ MY SOCIAL PAGES
TikTok ► https://www.tiktok.com/@theinfographicsshow
Discord ► https://discord.gg/theinfographicsshow
Facebook ► https://www.facebook.com/TheInfographicsShow
Twitter ► https://twitter.com/TheInfoShow
_xD83D__xDCAD_  SUGGEST A TOPIC
https://www.theinfographicsshow.com
_xD83D__xDCDD_ SOURCES: https://pastebin.com/GEsjspXH
All videos are based on publicly available information unless otherwise noted.</t>
  </si>
  <si>
    <t>The news everyday is that the Coronavirus continues to spread rapidly across the globe and social distancing plus quarantine can help slow the spread, but the COVID-19 virus has taken over 2020. You may be wondering what it's actually like to have the virus, and in today's video we're going to share the symptoms you should be on the look-out for.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https://pastebin.com/KCUKzYyM
All videos are based on publicly available information unless otherwise noted.</t>
  </si>
  <si>
    <t>Who are the secret billionaires that run the world? In today's educational animated cartoon we look at the world's most wealthy and powerful families. Which family has the most influence and power?
_xD83C__xDFAC_ MAKE VIDEOS LIKE OURS 
We use Envato Elements for vectors, templates, music and other things ► http://bit.ly/Elements-InfographicsShow
For software I use Adobe Creative Cloud (After Effects &amp; Illustrator), You can get it from here http://bit.ly/Adobe-TheInfographicsShow
_xD83D__xDD14_ SUBSCRIBE TO US ► https://www.youtube.com/c/theinfographicsshowOFFICIAL?sub_confirmation=1
_xD83D__xDD16_ MY SOCIAL PAGES
Facebook ► https://www.facebook.com/TheInfographicsShow
Twitter ► https://twitter.com/TheInfoShow
_xD83D__xDCAD_  SUGGEST A TOPIC
https://www.theinfographicsshow.com
_xD83D__xDCDD_ SOURCES: https://pastebin.com/gwPKVcXQ</t>
  </si>
  <si>
    <t>Most major cities have only been quarantined for a few weeks, trying to lower the curve of the spreading virus known as COVID-19. People are already getting tired of being locked in quarantine, and grocery stores are still sold out of disinfectants and toilet paper. We don't know how long the world will be this way, and we had to wonder "What if this pandemic lasts 18 months or more?". It seems like a crazy question, and in today's video we breakdown what life would be like on lock down for almost 2 years.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https://pastebin.com/e6fPbc0X
All videos are based on publicly available information unless otherwise noted.</t>
  </si>
  <si>
    <t>This story is absolutely insane, but totally true! A master escape artist, Richard McNair, had a reputation for being able to escape from jail, but his ultimate escape for the record books, was when he mailed himself out of prison! How did this creative criminal get away with it? Watch and find out in our newest video all about a master of escape!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https://pastebin.com/ByXuAjkR
All videos are based on publicly available information unless otherwise noted.</t>
  </si>
  <si>
    <t>Explore the three strategies governments and communities can use to contain and end a pandemic, and find out which method is best.
--
Consider the following scenario: a highly infectious, sometimes deadly respiratory virus infects humans for the first time. It spreads rapidly worldwide, and the WHO declares a pandemic. The death toll starts to rise and everyone is asking the same question: when will the pandemic end? Alex Rosenthal details the three main strategies governments can use to contain and end a pandemic. 
Lesson by Alex Rosenthal, directed by Visorama.
Animator's website: https://www.visorama.tv/
Sign up for our newsletter: http://bit.ly/TEDEdNewsletter
Support us on Patreon: http://bit.ly/TEDEdPatreon
Follow us on Facebook: http://bit.ly/TEDEdFacebook
Find us on Twitter: http://bit.ly/TEDEdTwitter
Peep us on Instagram: http://bit.ly/TEDEdInstagram
View full lesson: https://ed.ted.com/lessons/when-is-a-pandemic-over
Thank you so much to our patrons for your support! Without you this video would not be possible! Brandy Jones, Shawn Quichocho, Gi Nam Lee, Joy Love Om, Miloš Stevanović, Ghassan Alhazzaa, Yankai Liu, Pavel Zalevskiy, Claudia Mayfield, Stephanie Perozo, Joe Giamartino, Filip Dabrowski, Barbara Smalley, Megan Douglas, Tim Leistikow, Andrés Melo Gámez, Renhe Ji, Ka-Hei Law, Michal Salman, Peter Liu, Mark Morris, Catherine Sverko, Misaki Sato, Tan YH, Ph.D., Rodrigo Carballo, SookKwan Loong, Bev Millar, Merit Gamertsfelder, Lex Azevedo, Noa Shore, Taylor Hunter, Kyle Nguyen, MJ Tan Mingjie, Cristóbal Moenne, Goh Xiang Ting Diana, Kevin Wong, Dawn Jordan, Yanira Santamaria, Prasanth Mathialagan, Savannah Scheelings, Susan Herder, Samuel Doerle, David Rosario, Dominik Kugelmann, Siamak H, Tracey Tobkin, Dwight Tevuk, Anthony Kudolo, Mrinalini and Yanuar Ashari.</t>
  </si>
  <si>
    <t>He went into a coma as a boy, and 12 years later he came out of the coma as a man, and he remembered everything. Today's incredible video is about a man's story as he was locked inside his body for 12 years, completely aware, but unable to communicate. This heartbreaking story luckily has a happy ending, but how did he endure being trapped for so long? Hear from Martin himself, this is his incredible story of survival. 
Check out my new channel I Am: https://www.youtube.com/channel/UCH5YmeRhiQZt9_5Eky3A2og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https://pastebin.com/QWBu2B69
All videos are based on publicly available information unless otherwise noted.</t>
  </si>
  <si>
    <t>The Dark Web is home to some of the most shady and illegal dealings on the internet. If you know how to navigate it, you can get your hands on literally anything you want. Fake passports, weapons, drugs, illegal human organs, you name it. In today's crazy video we're going to show you the most insane things have actually been sold on the Dark Web.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https://pastebin.com/vCUpCmnB
All videos are based on publicly available information unless otherwise noted.</t>
  </si>
  <si>
    <t>North Korea is known to be extremely strict and regulated, from what websites its citizens are allowed to use, to its extremely formal rules on dating. Check out today's insane video to find out all about the love life of people who live in North Korea, and be grateful you can openly flirt with your crush and use dating apps.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https://pastebin.com/6X8HDAGc
All videos are based on publicly available information unless otherwise noted.</t>
  </si>
  <si>
    <t>One thing that is absolutely certain about life, is that it is finite. We all have an expiration date and will someday pass on into the afterlife, but in today's video we were curious about what would happen to you if you were immortal and lived until the end of the universe. What would that insane experience be like? Watch our new crazy video to what life would be like if you could never die, and had to be the last person to exist and witness the end of the universe!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 nfographicsshow.com
_xD83D__xDCDD_ SOURCES: https://pastebin.com/h5SSvzNP
All videos are based on publicly available information unless otherwise noted.</t>
  </si>
  <si>
    <t>I’ve appeared on national television shows for months praising Americans for respecting the guidelines of social distancing, wearing their masks, and working hard to flatten the curve. Unfortunately, it seems like over the last few weeks we’ve become victims to “Caution Fatigue” and reverted back to the behavior that caused our new cases to spike in the first place. 
There are so many factors behind the latest spike, where 18 states are seeing a dramatic increase in new cases, with many actually soaring well above their all-time highs. Protests of all kinds are definitely a contributing factor, so please make sure you’re wearing a mask, staying at least 6 feet apart from others, and remaining outdoors if you’re marching with a group of people. We will get through this!
If you have an idea of something you want me to cover in-depth, please let me know because I take your requests seriously. We will be back with more Medical Drama Review Series in a couple of weeks so please submit more names of shows/episodes you'd like for me to watch. Love you all! 
- Doctor Mike Varshavski
Please SUBSCRIBE for new videos every Sunday 11am EST ▶  https://goo.gl/87kYq6 
Let’s connect:
IG https://goo.gl/41ZS7w - Doctor Mike
Reddit https://www.reddit.com/r/DoctorMike/
Twitter https://goo.gl/kzmGs5 - Real Doctor Mike
Facebook https://goo.gl/QH4nJS - Real Doctor Mike
Contact Email: DoctorMikeMedia@Gmail.com
P.O. Box (send me stuffs):
340 W 42nd St # 2695
NY, NY 10108
** The information in this video is not intended nor implied to be a substitute for professional medical advice, diagnosis or treatment. All content, including text, graphics, images, and information, contained in this video is for general information purposes only and does not replace a consultation with your own doctor/health professional **</t>
  </si>
  <si>
    <t>Today we're talking about a pretty crazy subject, Reincarnation. Now whether you believe in reincarnation or not, these stories will be sure to make you question everything. Is it possible for someone who has passed away to be reborn into a new body as someone new, but with memories from a past life? Check out today's insane video where we share some real evidence that may prove reincarnation is actually true!
_xD83D__xDD14_ SUBSCRIBE TO THE INFOGRAPHICS SHOW ► https://www.youtube.com/c/theinfographicsshowOFFICIAL?sub_confirmation=1
_xD83D__xDD16_ MY SOCIAL PAGES
DISCORD ►https://discord.gg/theinfographicsshow
Facebook ► https://www.facebook.com/TheInfographicsShow
Twitter ► https://twitter.com/TheInfoShow
_xD83D__xDCAD_  SUGGEST A TOPIC
https://www.theinfographicsshow.com
_xD83D__xDCDD_ SOURCES: https://pastebin.com/LQ37HTPs
All videos are based on publicly available information unless otherwise noted.</t>
  </si>
  <si>
    <t>WHO Chief Scientist Soumya Swaminathan said phase three of COVID-19 vaccine trials were underway, adding “I'm hopeful, I'm optimistic, but you know vaccine development is a complex undertaking.”
Swaminathan said phase 3 is the phase which will “definitively prove whether a vaccine is efficacious and safe.” She said vaccine development comes with a lot of uncertainty and added, “The good thing is we have many different vaccine candidates and platforms. So even if the first one fails or the second fails, we shouldn't lose hope. We shouldn't give up."
The Chief Scientist said WHO was working on a “fair allocation mechanism” and noted that discussions were underway with countries on how to share a limited supply of vaccine. She explained, “Let's say you have fifty or a hundred million doses at the end of this year. Okay. How should the world share that? Should it go only to the countries which have paid for it or are capable of paying for it, to cover their own populations? Or should it go to protect frontline health workers or the most vulnerable people, whether they are the elderly or whether there are people with other diseases and certainly frontline workers, health workers, but also other kinds of first responders are at the highest risk as we've seen, unfortunately."
Swaminathan said data analysis by the recovery trial safety monitoring board found that there is no benefit in the use of hydroxychloroquine on mortality in hospitalized COVID-19 patients. She added, “Where there is still a gap is: Does it have any role at all in prevention? Or in minimizing the severity of the illness in early infection? Or even in preventing infection? We don't know that as yet, and we need to complete those large trials and get the data so again, we have a definite answer on that."
The Chief Scientist said the global community want to know if a drug reduces mortality or not to determine whether or not to use it. She said there is a similar situation now with Lopinavir, Ritonovir now which is currently being studied. She said there were some 3,000 patients in the Lopinavir, Ritonovir arm and a similar number in the standard of care arm of the trial; “so, this is already a huge number and should be enough to tell us whether this drug is actually having a mortality benefit or a benefit in reducing the severity of the illness."
(Excepts from interview)</t>
  </si>
  <si>
    <t>Glenmark Pharmaceuticals on Saturday announced the launch of antiviral drug Favipiravir for the treatment of mild to moderate Covid-19 patients.Glenmark has received manufacturing and marketing approval from India’s drug regulator, making FabiFlu the first oral Favipiravir-approved medication in India for the treatment of Covid-19, officials said at a press conference organised online.Watch video,
कोरोना महामारी से पूरी दुनिया परेशान है. सबको इस वक्त का इंतजार है कि कब कोरोना की वैक्सीन बनेगी और कब लोगों को इम महामारी से निजात मिलेगी. लेकिन इस बीच भारत के लिए एक अच्छी खबर आई है. भारत में इसकी दवा लांच हो गई है. कोराना महामारी की ये दवा ग्लेनमार्क फार्मास्युटिकल्स ने शनिवार को लांच की.पूरी जानकारी के लिए ये वीडियो देखें
#Coronavirus #Glenmark #CoronaMedicine
--------------------------------------------------------------------------------------------------------------
Subscribe to OneIndia Hindi Channel for latest updates on movies and related videos.
You Tube: https://www.youtube.com/channel/UCOjgc1p2hJ4GZi6pQQoXWYQ
Follow us on Twitter : https://twitter.com/oneindiaHindi
Like us on Facebook : https://www.facebook.com/oneindiahindi
Download App: https://play.google.com/store/apps/details?id=in.oneindia.android.tamilapp</t>
  </si>
  <si>
    <t>Dexamethasone for Coronavirus
#coronavirus
Dexamethasone is being called a “Major Breakthrough” based on a recent RCT in the UK. Dexamethasone (Decadron), is an example of a glucocorticoid. Glucocorticoids are sometimes referred to as corticosteroids. Other examples of glucocorticoids include Hydrocortisone, Methylprednisolone, Prednisolone, Prednisone, Betamethasone, and Triamcinolone. Glucocorticoids are a class of steroid hormones that bind to the glucocorticoid receptor in the body. Cortisol (hydrocortisone) is the glucocorticoid we naturally make in our body. It is essential for life, and it regulates or supports various cardiovascular, metabolic, and homeostatic functions. It also plays a big role in our immune system, especially when it comes to reducing certain aspects of inflammation. 
This is why we use them all the time in medicine. We sometimes give these steroids for asthma, COPD, rheumatologic type diseases, and countless more diseases. Sometimes we give steroids for meningitis, and also for some forms of cancer. We give them in the early course of severe ARDS, acute respiratory distress syndrome, whether that ARDS is due to infection such as pneumonia, or vaping lung injury, or whatever the cause. 
For severe ARDS, we typically give methylprednisone, at a dose of 1 mg/kg per day. So for most people, that ends being around 80 mg per day. This is the equivalent of 15 mg of dexamethasone. The idea here is to suppress the cytokine storm that is taking place, meaning that massive amount of inflammation that causes lung damage and can indirectly cause damage to other organs as well.  Our body naturally makes cortisol in our adrenal glands, specifically, in the zona fasciculate of the adrenal cortex. The adrenal gland then secretes cortisol into the bloodstream, and travels to different tissues of the body, and then binds to the glucocorticoid receptor inside cells. It then stimulates the cell to make more anti-inflammatory proteins and reduces the number of pro-inflammatory proteins being made. But giving someone glucocorticoids (steroids) who has an infection is somewhat of a tricky thing because the fear is that if you suppress the body’s immune system, it has the potential to make the infection worse. But sometimes the body’s immune system does more damage than the actual infection. For example, in cases of meningitis that is due to streptococcus or tuberculosis, we give steroids because the medical evidence shows that they have better outcomes when we do so. 
Giving someone steroids for viral pneumonia, such as influenza, is more controversial because doing so generally leads to a worse infection. With that said, if the viral pneumonia is so bad to the point of causing severe ARDS, most doctors including myself will give steroids in that situation. This is why the general medical guidelines thus far recommend against giving steroids for COVID pneumonia unless the patient has severe ARDS. We’ve been waiting for RCT to come out for steroids and COVID-19, and here we are now. In March 2020, the RECOVERY (Randomized Evaluation of COVid-19 thERapY) trial was one of that RCT that actually looked at several different potential treatments for COVID-19, which included low-dose dexamethasone (a steroid treatment). This trial was done in the UK and had over 11,500 patients in it. 
So this trial has not been peer-reviewed as of the making of this video and has not been published in a journal yet. So everything I know so far is based on what has been released to the general public. In this trial, over 2100 patients were randomized to receive dexamethasone 6 mg once per day for ten days and were compared with over 4300 patients randomized to standard care alone. So 6 mg of dexamethasone is the equivalent of 32 mg of methylprednisolone, so this is about half the dose we would typically use for someone with severe ARDS. 
Among the patients who received standard care alone, 28-day mortality was highest in those who required mechanical ventilation (41%), intermediate in those patients who required oxygen only (25%), and lowest among those who did not require any supplementary oxygen (13%). For patients on ventilators, dexamethasone reduced mortality from 41% to 28%. For patients needing supplemental oxygen, it reduced mortality from 25% to 20%. There was no benefit among those patients who did not require supplemental oxygen. In other words, if someone only has a mild disease, there is no point in giving dexamethasone. Based on these results, 1 death would be prevented by treatment of around 8 ventilated patients, and around 25 patients requiring oxygen alone. So these preliminary results, are significant but do not mean that dexamethasone is a miracle drug. It's certainly not a cure. But it does seem to help, based on these numbers. And dexamethasone could be of huge benefit in poorer countries with high numbers of Covid-19 patients, because the drug is very cheap, and is widely available.</t>
  </si>
  <si>
    <t>COVID-19 Vaccine Available Soon, Breaking News
WHO Big Announcement
#WorldHealthOrganization #CoronaVaccine #BOLNews</t>
  </si>
  <si>
    <t>Dr. Stephanie Wright, Infectious Disease Specialist, Hartford HealthCare Hartford Hospital, joined Channel 3 to discuss developments in the search for a COVID-19 vaccine.</t>
  </si>
  <si>
    <t>WATCH THE FULL EPISODE: https://bit.ly/2NjNcnh 
John Bolton describes the optics of Trump’s meetings with Kim Jung Un and says there has not been progress on denuclearization.
SUBSCRIBE to ABC NEWS: https://bit.ly/2vZb6yP
Watch More on http://abcnews.go.com/ 
LIKE ABC News on FACEBOOK https://www.facebook.com/abcnews 
FOLLOW ABC News on TWITTER: https://twitter.com/abc
#ABCNews #Bolton #JohnBolton #Interview #Book #MarthaRaddatz #WhiteHouse #Trump #Politics</t>
  </si>
  <si>
    <t>UNTV channel/ Live Schedule - 26 June (EDT)
9:00-12:00
Commemoration of the Signing of the United Nations Charger 1945
12:00
Daily virtual briefing 
Guest: David Shearer, Special Representative of the Secretary-General for South Sudan
Followed by:
Briefing by the Spokesperson for the President of the General Assembly
Evening Repeats:
7:00
Daily Virtual Briefing With guest
Followed by
Briefing by the Spokesperson for the President of the General Assembly
Approx. 8:00
Commemoration of the Signing of the UN Charter 1945
----------------------------------------------------------------------------
The UNTV Channel is available 24 hours a day with selected live programming of United Nations meetings and events as well as with pre-recorded video features and documentaries on various global issues. 
Watch more Live and on-demand events in six languages directly from UN Web TV at: http://webtv.un.org
مشاهدة المزيد من الأحداث الحية وعند الطلب في اللغة العربية مباشر من تلفزيون الأمم المتحدة على شبكة الإنترنت 
: http://webtv.un.org
欲览更多联合国会议与活动的中文直播与回放内容，请访问联合国网络电视主页：http://webtv.un.org
Regardez plus d'événements en direct et à la demande en Français directement de UN Web TV sur: http://webtv.un.org 
Acceda a más eventos en directo y videos en español directamente desde ONU Web TV: http://webtv.un.org
Смотрите больше прямых трансляций и видеозаписей на русском языке на Веб-телевидении ООН: http://webtv.un.org</t>
  </si>
  <si>
    <t>This educational video gives updates on most promising COVID vaccines being developed as of June 2020.</t>
  </si>
  <si>
    <t>Donald Trump’s decision to pull 9,500 US troops out of Germany by September was a surprise for many, including German Chancellor Angela Merkel. But trouble has actually been brewing between the two for years over issues such as defense spending, Iran, Huawei and Russia.
#Germany #US #Trump
Subscribe: http://trt.world/subscribe
Livestream: http://trt.world/ytlive
Facebook: http://trt.world/facebook
Twitter: http://trt.world/twitter
Instagram: http://trt.world/instagram
Visit our website: http://trt.world</t>
  </si>
  <si>
    <t>As countries around the world start easing their lockdown restrictions, we're being warned the coronavirus threat will not be over until a vaccine is developed. The World Health Organization says it will be at least a year before a vaccine is ready. Sarah Morice takes a look at the work being done around the world to rush its development.
#CoronavirusVaccine #VaccineDevelopment #CoronavirusPandemic
Check out these playlists about Coronavirus
Life Under Quarantine
http://trt.world/Quarantine
My Coronavirus Story
http://trt.world/MyCstory
Covid-19 playlist with instant stories from around the globe. (New updates everyday)
http://trt.world/pandemic</t>
  </si>
  <si>
    <t>India's rising coronavirus cases have brought the country's health care system to the brink of collapse. Critics say a lack of coordination between hospitals, overworked doctors and a shortage of resources are costing lives. DW talked Dr. Jugal Kishore, Secretary of Delhi's Public Health Association. He also heads the department of community medicine at Saf-dar-jung Hospital, which treats Covid-19 cases.
Subscribe: https://www.youtube.com/user/deutschewelleenglish?sub_confirmation=1
For more news go to: http://www.dw.com/en/
Follow DW on social media:
►Facebook: https://www.facebook.com/deutschewellenews/
►Twitter: https://twitter.com/dwnews
►Instagram: https://www.instagram.com/dw_stories/
Für Videos in deutscher Sprache besuchen Sie: https://www.youtube.com/channel/deutschewelle
#Coronavirus #Covid19 #India</t>
  </si>
  <si>
    <t>As the world endures a pandemic, there appears to be another big problem on our hands: locusts. Swarms of them are currently impacting South Asia, and experts believe climate change is to blame.
Here's how the locust threat and swarms began in Africa: https://www.youtube.com/watch?v=63-ffx43N5I
#locusts #coronavirus #plague
Subscribe: http://trt.world/subscribe
Livestream: http://trt.world/ytlive
Facebook: http://trt.world/facebook
Twitter: http://trt.world/twitter
Instagram: http://trt.world/instagram
Visit our website: http://trt.world</t>
  </si>
  <si>
    <t>President Jair Bolsonaro pushes hard to reopen Brazil despite rising coronavirus cases. He has led perhaps the world’s most controversial response to the Covid-19. He has downplayed the virus all along. Coronavirus in Brazil still poses high risks. Brazil coronavirus confirmed cases are nearing 1 million. Social restrictions are still in effect across much of Brazil but businesses are reopening despite rising numbers.
Are you interested in following the latest coronavirus updates from Brazil?
Check out this playlist with up to date Covid-19 news coming from _xD83C__xDDE7__xD83C__xDDF7_ Brazil
_xD83D__xDC49_http://trt.world/BrazilVirus
#Brazil #CoronavirusBrazil #CoronavirusInBrazil</t>
  </si>
  <si>
    <t>Hindustan Times’ National Political Editor, Sunetra Choudhury brings you the top stories you need to know. Sunetra talks about the number of covid-19 cases in India, dexamethasone-the first drug to improve survival in covid, Imperial College trials of covid-19 vaccine this week, Saudi pressured to scrap Haj and more.</t>
  </si>
  <si>
    <t>Prince William has described the work being done in the UK to find a coronavirus vaccine as “incredibly exciting” and “fascinating”, before meeting “guinea pig” volunteers taking part in the University of Oxford trial.
The Duke of Cambridge visited the University of Oxford’s Vaccine Group to learn more about their work to fight COVID-19. Prince William spent the afternoon at the Churchill Hospital where vaccine trials are now underway. 
#PrinceWilliam #DukeOfCambridge #UniversityOfOxford
Report by April Brown.</t>
  </si>
  <si>
    <t>The highest global tally of new coronavirus cases was recorded on Sunday, at more than 183,000. According to the World Health Organization, most of them were in North and South America. The United States is far ahead of other countries, with over two million infections, followed by Brazil, which passed one-million reported cases over the weekend. Philip Owira has the details. 
#covid19 #coronavirus #who
Subscribe: http://trt.world/subscribe
Livestream: http://trt.world/ytlive
Facebook: http://trt.world/facebook
Twitter: http://trt.world/twitter
Instagram: http://trt.world/instagram
Visit our website: http://trt.world</t>
  </si>
  <si>
    <t>China has been racing to develop a vaccine for the CCPvirus.
Now five Chinese companies are conducting human trials, with one claiming that it could conclude the final testing phase as early as this fall.
But for the past decade, China's pharmaceutical industry has been plagued with scandals of faulty vaccines, calling into question its product safety.
A mother posted on social media, saying “even if the Chinese vaccine was ready to go, I wouldn’t dare to get injected!”
Her son was injected with a faulty vaccine when he was three months old. Before the injection, he was a healthy baby.
------------
_xD83D__xDC8E_Sign the petition to investigate, condemn, and reject the Chinese Communist Party
▶️https://rejectccp.com
_xD83D__xDC8E_Subscribe to NTD:  https://ept.ms/NTD
_xD83D__xDC8E_Support NTD: https://www.ntd.com/support-us.html
For more news and videos visit ☛ http://ntd.com
Follow us on Twitter ☛ https://twitter.com/news_ntd
Add us on Facebook ☛https://www.facebook.com/NTDTelevision/</t>
  </si>
  <si>
    <t>Hindustan Times’ National Political Editor, Sunetra Choudhury brings you the top stories you need to know. Sunetra talks about the number of covid-19 cases in India, academic calendar set to be reworked, pilots of crashed Pakistan plane discussing coronavirus, study on herd immunity, Oxford vaccine in final stage of clinical trials and more.</t>
  </si>
  <si>
    <t>SETTING THE BAR ON MANDATORY VACCINATION
Last month the NY State Bar Association released a report which included a recommendation to mandate the COVID-19 vaccine for all New Yorkers. Last weekend, delegates from NYSBA held a meeting to vote on endorsing the report that would help Gov. Cuomo push a mandate on a vaccine that isn’t even on the market yet.  Hundreds of New Yorkers, including many doctors &amp; lawyers, took to the streets and rallied from the Governor's mansion to the Bar Association. The HighWire was there.
#BarBigPharma #NYSBA #NYWin</t>
  </si>
  <si>
    <t>The House committee on public accounts holds a hearing on the "whole of government approach on its migration policy response to the COVID-19 pandemic" on Friday, June 26</t>
  </si>
  <si>
    <t>W.H.O. FLIPS ON MASKS, FLOPS ON FUNDING
Last week, President Donald Trump terminated America’s relationship with the World Health  Organization over their #Coronavirus pandemic response.  This week, the #WHO has flipped on their mask recommendations declaring, “masks should only be used by healthcare workers, caretakers or by people who are sick with symptoms of fever and cough.”#Pandemic #COVID19 #WHOFlipFlop #DonaldTrump #AloneTogether #Masks #MasksDontWork #Masks4all ?</t>
  </si>
  <si>
    <t>Jenny McCarthy's appointment as a new host of "The View" on ABC is raising concerns in the health community.Jenny McCarthy's appointment as a new host of The View on ABC is raising concerns in the health community.</t>
  </si>
  <si>
    <t>Please  subscribe to 【李子柒 Liziqi 】Liziqi Channel on YouTube if you like my videos: https://goo.gl/nkjpSx 
Turn on the little bell_xD83D__xDD14_  for notification and be the first one to watch liziqi's videos~
开启小铃铛_xD83D__xDD14_通知，第一时间观看#李子柒Liziqi 精彩视频哦~
Do you have that sort of zongzi in your hometown?
At that time, before Dragon Boat Festival, 
Villagers would go to the mottled bamboo forest to pick up the shells to make zongzi.
The fragrance of bamboo shoots and sweetness of glutinous rice are wrapped together,
with a touch of alkali flavor.
Dip it in sugar,
Or drizzle with hot brown sugar syrup…
I still haven’t outgrown that festive taste.
小时候每到端午，
村里的大人就忙着去斑竹林捡笋壳回来包粽子
笋壳的清甜混合糯米的香软，还有淡淡面碱香
吃的时候蘸一蘸白糖
或淋一勺热热的红糖汁
大概这就是我关于端午最深刻的味蕾回忆吧！
#李子柒#李子柒Liziqi
如果你喜欢我的视频别忘了订阅我的频道哦~
 【李子柒 Liziqi 】 https://goo.gl/nkjpSx
--------------------------------------------------------------------
liziqi李子柒更多精彩视频推荐/More wonderful video recommendations：
liziqi李子柒精选视频/decent video selection：https://is.gd/qe9xuc
李子柒●花开有声 | Soud of blooming flowers： https://is.gd/tyr1ja
李子柒 ●饮食以节 | Chinese festival food： https://is.gd/3LsFnu
李子柒 ●适时而食 | Seasonal diet： https://is.gd/JmLJH3
东方非遗传承 | Oriental intangible cultural heritage ： https://is.gd/atatyo
传统工艺 | Traditional handicraft： https://is.gd/FPl4df
Spring 春之卷：https://is.gd/EBwo2n
Summer 夏之卷：https://is.gd/i1jJ46
Autumn 秋之卷：https://is.gd/YBVeL2
Winter 冬之卷：https://is.gd/3JqW8D
#LýTửThất #李子柒 #liziqi</t>
  </si>
  <si>
    <t>Subscribe now for more! http://bit.ly/1JM41yF
Broadcast on 14/12/2016
Melinda Messenger has concerns about the HPV vaccine and has refused to allow her daughter to be given it. But should she be worried? 
Like, follow and subscribe to This Morning!
Website: http://bit.ly/1MsreVq
YouTube: http://bit.ly/1BxNiLl
Facebook: http://on.fb.me/1FbXnjU
Twitter: http://bit.ly/1Bs1eI1
This Morning - every weekday on ITV from 10:30am.
Join Holly Willoughby and Phillip Schofield, Ruth Langsford and Eamonn Holmes as we meet the people behind the stories that matter, chat to the hottest celebs and cook up a storm with your favourite chefs!
Dr Zoe and Dr Ranj answer all your health questions, stay stylish with Gok Wan's fabulous fashion, be beautiful with Bryony Blake's top make-up tips, and save money with Martin Lewis.
http://www.itv.com
http://www.stv.tv</t>
  </si>
  <si>
    <t>His reaction was hilarious
Download monster legends: https://monsterlegends.onelink.me/1933036881/MrBeast
Thanks Monster Legends for sponsoring!
New Merch - https://shopmrbeast.com/
SUBSCRIBE OR I TAKE YOUR DOG
----------------------------------------------------------------
follow all of these or i will kick you
• Facebook - https://www.facebook.com/MrBeast6000/
• Twitter - https://twitter.com/MrBeastYT
•  Instagram - https://www.instagram.com/mrbeast
--------------------------------------------------------------------</t>
  </si>
  <si>
    <t>DEL DEBATES DERSHOWITZ 
Alan Dershowitz, leading U.S. constitutional lawyer, goes head-to-head with Del Bigtree, after Dershowitz strongly stated earlier this week “if you refuse to be vaccinated, the state has the power to literally take you to a doctor's office and plunge a needle into your arm.” 
#DelvsDersh</t>
  </si>
  <si>
    <t>OH NO, W.H.O.!
Is it rare for asymptomatic carriers to spread covid-19 or not? Should we wear masks or do they do nothing? This week the W.H.O. goes back and forth on recommendations AGAIN!  Del breaks down Maria Van Kerkhove’s backpedaling comments during a press conference. WHO can we trust at this point?#WHO #LOCKDOWN #FLIPFLOP #CONFUSION</t>
  </si>
  <si>
    <t>Dr Sam talks about the evidence for social distancing and physical distancing. What is the evidence for wearing a face mask to prevent COVID-19?
#socialdistancing #truthaboutsocialdistancing
What is COVID-19?
COVID-19 is a new illness that can affect your lungs and airways. It’s caused by a type of coronavirus. There are simple steps you can take to protect you and your family.
What are the symptoms of Coronavirus?
The symptoms of COVID-19 are:
* a cough
* a high temperature (at least 38°C)
* shortness of breath.
These symptoms do not necessarily mean you have COVID-19. The symptoms are similar to other illnesses that are much more common, such as cold and flu.
Shortness of breath is a sign of possible pneumonia and requires immediate medical attention.
We don’t yet know how long symptoms take to show after a person has been infected, but current World Health Organization assessments suggest that it is 2–10 days.
How Coronavirus spreads?
COVID-19, like the flu, can be spread from person to person. When a person who has COVID-19 coughs, sneezes or talks, they may spread droplets containing the virus a short distance, which quickly settle on surrounding surfaces. 
That’s why it’s really important to use good hygiene, regularly wash and thoroughly dry your hands, and use good cough etiquette.
How to protect yourself from Coronavirus (COVID-19)?
* Cough or sneeze into your elbow or by covering your mouth and nose with tissues.
* Put used tissues in the bin or a bag immediately.
* Wash your hands with soap and water often (for at least 20 seconds).
* Try to avoid close contact with people who are unwell.
* Stay home if you feel unwell
Websites &amp; References mentioned:
Imperial College Computer Modelling Paper: https://www.imperial.ac.uk/media/imperial-college/medicine/sph/ide/gida-fellowships/Imperial-College-COVID19-NPI-modelling-16-03-2020.pdf
PPE study: https://www.ncbi.nlm.nih.gov/pubmed/31259389
Original design of RESPECT study: https://clinicaltrials.gov/ct2/show/NCT01249625
RESPECT study Results: https://academic.oup.com/ofid/article/5/suppl_1/S51/5206102
Systematic Review on Social Distancing: https://bmcpublichealth.biomedcentral.com/articles/10.1186/s12889-018-5446-1
Clips used and references:
"Back in your tent sickie!" https://www.youtube.com/watch?v=xPHAMyTvPuc&amp;list=PLGTTuH3kAY1fXgB2hboi6lP8z4WqDNlYK&amp;index=75
"I will start a fire in the bathroom" https://www.youtube.com/watch?v=NXi9pW7Ae9c&amp;list=PLGTTuH3kAY1fXgB2hboi6lP8z4WqDNlYK&amp;index=54
Subscribe for new videos ▶https://www.youtube.com/c/DrSamBailey
ABOUT ME:
I'm a kiwi doctor who wants to make it easier for people to fix common health problems. I work as a family doctor in New Zealand.
Send business/sponsorship inquiries to admin@drsambailey.com</t>
  </si>
  <si>
    <t>STAND HIGH PATROL : Pupajim / Mac Gyver / Rootystep:
Presents THE BIG TREE
Extract from the album
"MIDNIGHT WALKERS"
Label : STAND HIGH RECORDS
Available LP/MP3/CD
http://www.standhighpatrol.com
Buy / Listen - MIDNIGHT WALKERS : https://orcd.co/maby5ny</t>
  </si>
  <si>
    <t>FEWER CHILDREN DYING DURING COVID?
SPECIAL REPORT: Data shows deaths are up over previous years. At the same time, childhood mortality is down over 30%. What is behind this dramatic decline in child death? 
#ChildMortality #BehindTheDecline</t>
  </si>
  <si>
    <t>We brought people together who both support and oppose vaccination to see if they can find middle ground. SUBSCRIBE for more! _xD83D__xDC49_http://bit.ly/SUBSCRIBEjubilee _xD83D__xDC48_
Featuring:
Dr. David Epstein: @MVP_Pediatric (Twitter)
Gary Shlifer: @drgaryevolve (IG)
Dr. Bob Sears: facebook.com/Dr-Bob-Sears-116317855073374/ 
Melissa: facebook.com/immunityed/
Follow us on INSTAGRAM: https://www.instagram.com/jubileemedia/
Join our company! https://www.jubileemedia.com/careers
Are you a loyal Jubilee fan? Join our Facebook group: https://www.facebook.com/groups/407942859721012/
Want to be in a Jubilee video? Fill out our casting form: https://goo.gl/forms/EYJEIGgtGTOrb8GC2
| ABOUT |
Jubilee exists to bridge people together and inspire love through compelling stories. We create shareable human-centric videos that create connection, challenge assumptions, and touch the soul.
Ultimately, we aim to inspire people to LIVE DEEPER.
| SOCIAL |
Jubilee Facebook: https://www.facebook.com/jubileemedia
Jubilee Instagram: https://www.instagram.com/jubileemedia/
Jubilee Twitter: https://www.twitter.com/jubileemedia
Jubilee Website: https://www.jubileemedia.com
Jubilee MERCH: https://www.jubileegear.com
For brands interested in partnering with Jubilee, email us:
hello@jubileemedia.com
Help us caption &amp; translate this video!
https://amara.org/v/C0vQL/</t>
  </si>
  <si>
    <t>Hundreds of volunteers are to take part in the trial of a new vaccine against coronavirus over the coming weeks, as part of a project led by scientists at Imperial College London. 
Researchers at Oxford University are already conducting a separate trial of another vaccine.  The studies are among more than a dozen vaccines undergoing trials around the world. 
The one being developed by Imperial College uses a revolutionary new approach which means only a tiny dose should be needed.  If it works the team says it should have enough vaccine to immunise 40 million people in the UK by the middle of next year. 
Meanwhile leading health organisations are urging ministers to carry out a review to establish if the UK is properly prepared for another outbreak of coronavirus. The presidents of the Royal Colleges of Physicians, Surgeons, GPs and Nurses have set out their concerns in a letter published in the British Medical Journal.
In New York and the neighbouring states of New Jersey and Connecticut, they are introducing a 14-day quarantine period for visitors from 9 other US states with high rates of coronavirus infection. New cases of Covid-19 in the US have risen to their highest level since April.  
Huw Edwards presents BBC News at Ten reporting by Medical Correspondent Fergus Walsh, Science Editor David Shukman and North America Editor Jon Sopel. 
Please subscribe HERE http://bit.ly/1rbfUog</t>
  </si>
  <si>
    <t>05.13.2019
Monsey, NY
www.gifteringotham.com</t>
  </si>
  <si>
    <t>RFK Jr. responds to HBO host John Oliver's recent critique of vaccine skeptics like himself #Tucker</t>
  </si>
  <si>
    <t>SUBSCRIBE to Larry King's YouTube Channel:http://bit.ly/131HuYM
He’s been called an anti-vaxxer, but Rob Schneider says that’s inaccurate; the comedian maintains that he is for freedom of choice, and clarifies his increasingly conservative politics.
FACEBOOK: http://www.facebook.com/OraTV &amp;http://www.facebook.com/LarryKing
TWITTER: http://twitter.com/OraTV
Use #LarryKingNow to make comments &amp; ask us questions on Twitter!
Watch the Full Interview Here:
http://www.ora.tv/</t>
  </si>
  <si>
    <t>Thank you Del Bigtree &amp; your entire team for having us on "The HighWire" show and shooting 2 episodes. 
On episode #1 Hanalei spoke 1 on 1 with Del on one of her favorite topics "Planet Killer - How Fast Fashion is Killing our Planet".
On the 2nd show, Del had all 3 of us (Brian, Rhonda &amp; Hanalei Swan) out speaking on Conscious Parenting &amp; how we've raised Hanalei on the road since the age of 1 and how we’ve help guide her on the way to Hanalei building a 6 figure, eco-friendly fashion brand by the age of 11.
We have been traveling the world since 2008...inspiring people to live our their dreams by using Personal Development and Free Enterprise.
Our mission is to enjoy Life to the fullest and to be the example to individuals, couples and families that you can Live &amp;Travel wherever you want in this world while thriving financially, mentally, physically &amp; spiritually. 
We have been put on this planet to show that you do not have to work your Butt off for years and save money to travel, then live on a budget until your money runs out...only to return back to the JOB you hated in the 1st place.
My wife, Rhonda Swan, &amp; I are polar opposites. I am a relaxed go-with-the flow, hippy surfer guy and for Rhonda her idea of relaxing is running around in circles; she’s someone that makes coffee nervous. But as a family, we're Unstoppable.
We have been traveling around the world for since 2008 when our daughter Hanalei was just 1 y/o.  She can throw a few Bahasa Indonesian words into her sentences and thinks it is quite normal to get from A to B on a motorbike with her mother wearing her little baby pink custom helmet. A monkey next to the swimming pool? Oh that’s just a normal occurrence.
From Hawaii, Mexico, Costa Rica, Nicaragua, Bali, Fiji, Australia, Panama, Peru, Brazil &amp; snowboarding in Lake Tahoe for a season… we are literally seeking an Endless Journey!
Hanalei Swan is a 12-year-old fashion designer, artist, model, International speaker, and author. At the age of 7, her talents were discovered and the journey began. Her parents never asked her “What do you want to be when you grow up” they asked her “What do you want to be, NOW!”
This started her career as a fashion designer and today is one of the youngest fashion designers and business owners in the world, producing high-fashion life &amp; earth-conscious products out of her showroom in Bali, Indonesia. In 2018, she has spoken on stages in Australia, Hong Kong, India, London, USA - Las Vegas &amp; Orlando, and multiple times in Indonesia. Hanalei will be kicking off 2019 by speaking in Paris along with delivering a TED Talk. She will also be making her debut &amp; hosted in Fashion Weeks of Amsterdam, Milan, London, Paris and the USA.
Follow Hanalei on Instagram: www.instagram.com/hanaleiswan/
Get our new book: unstoppablefamily.com/book</t>
  </si>
  <si>
    <t>Triple board-certified M.D., Dr. Zach Bush, joins Del in an evolutionary discussion on why Coronavirus is here, what it’s trying to tell us, and how we emerge from the darkness.</t>
  </si>
  <si>
    <t>UK Income generation via Body Shop, thank you if you can help! (We receive a commission if you buy cosmetics via this link). Prices are 10% lower than those in the shop.
https://www.facebook.com/groups/744795689592742/
Terrifying chart shows how Covid-19 patients who end up in hospital may be almost certain to die if they have a vitamin D deficiency
https://www.dailymail.co.uk/news/article-8432321/Government-orders-review-vitamin-D-role-Covid-19.html?ito=email_share_article-top
Indonesian experts analysed hospital records of 780 people who tested positive
98.9% of Covid patients defined as vitamin D deficient — below 20ng/ml — died
Yet this fell to just 4.1% for patients who had enough of the nutrient
SACN will review existing scientific evidence on whether vitamin D lowers risk
Public Health England and NHS regulator NICE are doing a separate review
John, 28th January
https://www.youtube.com/watch?v=RECcmQQQOj8
John, 9th March
https://www.youtube.com/watch?v=W5yVGmfivAk
Patterns of COVID-19 Mortality and Vitamin D: An Indonesian Study (30th April)
https://papers.ssrn.com/sol3/papers.cfm?abstract_id=3585561
Vitamin D as a Risk Factor
Adjusted for confounds
Vitamin D insufficiency, 7.63 times more likely to die
Vitamin D deficiency, 10.12 times more likely to die
P less than 0.001
Vitamin D supplementation to prevent acute respiratory tract infections (15th Feb)
https://www.bmj.com/content/356/bmj.i6583
Vitamin D supplementation was safe and it protected against acute respiratory tract infection overall.
Disparities in the risk and outcomes of COVID-19 
https://assets.publishing.service.gov.uk/government/uploads/system/uploads/attachment_data/file/892085/disparities_review.pdf
No mention of vitamin D
https://www.theguardian.com/world/2020/jun/17/uk-ministers-order-urgent-vitamin-d-coronavirus-review
Guardian, Exclusive!!
Scientific Advisory Committee on Nutrition (SACN)
Began work last month (May)
Considering recent evidence on vitamin D and acute respiratory tract infection
Evidence will be considered on specific population groups
National Institute for Health and Care Excellence (Nice)
Conducting a “rapid” evidence review on vitamin D “in the context of Covid-19” 
Adrian Martineau, 
Professor of respiratory infection and immunity
“Vitamin D could almost be thought of as a designer drug for helping the body to handle viral respiratory infections,” 
“It boosts the ability of cells to kill and resist viruses and simultaneously dampens down harmful inflammation, which is one of the big problems with Covid.”
Higher levels of melanin in the skin lead to lower levels of vitamin D creation which are exacerbated in countries which have less sunlight. This can cause immune systems to be weaker
Ethnicity
https://assets.publishing.service.gov.uk/government/uploads/system/uploads/attachment_data/file/537616/SACN_Vitamin_D_and_Health_report.pdf
Vitamin D and health
Annualised mean serum 25(OH)D concentration was higher in white adults, 45.8 nmol/L
Asian, 20.5 nmol/L
Black, 27.7 nmol/L
10 μg/d (400 IU/d) proposed for the general UK population (aged 4y and above)
For serum 25(OH)D concentration less than 25 nmol/L (10ng per ml)
Scottish Government
https://www.gov.scot/publications/vitamin-d-advice-for-all-age-groups/
Vitamin D: advice for all age groups
Published: 3 Jun 2020
Everyone (including children) should consider taking a daily supplement containing 10 micrograms of vitamin D
Specifically recommended that groups at higher risk of vitamin D deficiency take a daily supplement. 
All pregnant and breastfeeding women
Infants and children under 5 years old
People who have low or no exposure to the sun, for example those who cover their skin for cultural reasons, are housebound, confined indoors for long periods or live in an institution such as a care home
People from minority ethnic groups with dark skin such as those of African, African-Caribbean and South Asian origin, who require more sun exposure to make as much vitamin D
Guidance from Scottish Government
10–15 minutes of unprotected Scottish sun exposure is safe for all. 
Once sunscreen is correctly applied, vitamin D synthesis is blocked. Staying in the sun for prolonged periods without the protection of sunscreen increases the risk of skin cancer.
Too much vitamin D may be harmful
Daily supplements at the recommended amounts will be enough
Avoid daily high dose vitamin D supplements
More than 100 micrograms for adults and children from age 11
More than 50 micrograms for children age 1-10 years
More than 25 micrograms for infants under 12 months.
Indian protocol
60,000 units (1.5 mg) per week for 6 weeks
60,000 units per month for 6 months</t>
  </si>
  <si>
    <t>The opposition political parties rejected the “foreign-sponsored Bill” mandating the compulsory vaccination of all Nigerians even when the vaccines have not been discovered and demanded the Speaker be impeached if he forces the bill on members. The development comes a month after Robert F. Kennedy Jr., the nephew of former American President John F. Kennedy, in a lengthy piece exposed Bill Gates agenda in India and his “obsession with vaccines”</t>
  </si>
  <si>
    <t>A pressure group study also accuses the $50bn Bill &amp; Melinda Gates Foundation of exploiting its leverage on the African continent. The Global Justice group says that under the pretext of financing poor farmers, they are instead becoming trapped into debt by having to use chemicals and fertilisers that are underwritten by offshoots of the Gates Foundation.Private financiers linked to the foundation have demanded repayments that caused one African country, Lesotho, more than half of its entire health budget, the group alleged.Aid experts warn that the focus on high-profile, headline-grabbing diseases undermines wider attempts by African governments to reduce the poverty that causes them.Al Jazeera's Laurence Lee reports.Subscribe to our channel: http://bit.ly/AJSubscribeFollow us on Twitter: https://twitter.com/AJEnglishFind us on Facebook: https://www.facebook.com/aljazeeraCheck our website http://www.aljazeera.com/</t>
  </si>
  <si>
    <t>Pastor Gino Jennings tells the audience the truth about white Jesus, the imposter.</t>
  </si>
  <si>
    <t>Please SUBSCRIBE to Voicetv Nigeria YouTube channel. For more stories visit www.voicetvnigeria.com
Voice TV Nigeria is an online community of reporters and social advocates dedicated to bringing you news reports from a Nigerian-African perspective.
#Voicetv #VoicetvNigeria #NigerianNews #www.voicetvnigeria.com</t>
  </si>
  <si>
    <t>A strange sight appears across China: fish jumping out of the water. It’s sparking fears of an incoming natural disaster. Many believe the odd behavior is a warning sign.
Indian authorities say they hope to solve the border tension with China through diplomatic means. But calls for boycotting Chinese goods and investments are rising. A picture online is sparking outrage in India. 
Photos show Beijing empty like a ghost town. This, as China’s capital under wartime measures. Over 20 million people affected.
Weeks of heavy rainfall drenching 70% of China are bringing more than just floods. Now many are facing mudslides. Even a bridge is swept away. 
And Trump signed a new bill into law. It's set to allow sanctions on Chinese officials who are involved with the regime's forced labor camps--full of Uighur muslims and other minority groups. China isn’t happy about it. 
#UnusualAnimalBehavior #BeijingCoronavirus #flood
---------
_xD83D__xDC8E_Sign the petition to investigate, condemn, and reject the Chinese Communist Party
▶️https://rejectccp.com
_xD83D__xDC8E_Subscribe: https://bit.ly/ChinaInFocus
_xD83D__xDC8E_Support our work: http://bit.ly/DonateToCIF
---------
Twitter: https://twitter.com/ChinaInFocusNTD
Facebook: https://www.facebook.com/NTDChinainFocus
Website: https://www.ntd.com/china-in-focus
Contact us: chinainfocus@ntdtv.org
---------
Watch more: 
The Pandemic’s Wall Street Connection: https://bit.ly/2SRDeNd
Tracking Down the Origin of the Wuhan Coronavirus: https://bit.ly/3dCWHsM
Virus follows communist China ties: https://bit.ly/2UsNVWc
Giving the right name to the virus causing a global pandemic: https://bit.ly/2wzV3IB
Undercover video reveals new evidence on forced organ harvesting in China: https://bit.ly/2wBE7RR
Full movie: ‘Claws of the Red Dragon’ exposes connection between Huawei and Chinese Communist Party: https://bit.ly/2wW1R3C</t>
  </si>
  <si>
    <t>Don't forget to subscribe:  https://bit.ly/2Hb8hjx
Watch more interesting videos: https://bit.ly/34ogCaw
Follow Channels Television On: 
Facebook: https://www.facebook.com/channelsforum/ 
Twitter: https://twitter.com/channelstv
Instagram: https://www.instagram.com/channelstelevision/?hl=en
Get more news on our website: https://www.channelstv.com/
#ChannelsTv</t>
  </si>
  <si>
    <t>Subscribe here: http://9Soci.al/chmP50wA97J Full Episodes: https://9now.app.link/uNP4qBkmN6 | Top secrets (2020)
Wikileaks founder Julian Assange has made his name – and plenty of enemies – by publishing military and other highly sensitive secrets of multiple governments around the world. As a consequence, he now calls a maximum-security jail in England home while he fights a bitter battle with the Trump administration which wants him extradited to the United States. Before prison, the controversial – and now very frail – Australian spent seven years holed up in the Ecuadorian Embassy in London. And that’s where Assange conceived his own top secrets – two sons with his, until now, equally secretive fiancée, Stella Moris.
WATCH more of 60 Minutes Australia: https://www.60minutes.com.au 
LIKE 60 Minutes Australia on Facebook: https://www.facebook.com/60Minutes9 
FOLLOW 60 Minutes Australia on Twitter: https://twitter.com/60Mins 
FOLLOW 60 Minutes Australia on Instagram: https://www.instagram.com/60minutes9
For forty years, 60 Minutes have been telling Australians the world’s greatest stories. Tales that changed history, our nation and our lives. Reporters Liz Hayes, Tom Steinfort, Tara Brown, Liam Bartlett and Sarah Abo look past the headlines because there is always a bigger picture. Sundays are for 60 Minutes.
#60MinutesAustralia</t>
  </si>
  <si>
    <t>Ikenga Imo Ugochinyere, the Spokesman for the Coalition of United Political Parties, CUPP, has been arrested by the Nigeria Police Force.
Ugochinyere was arrested yesterday at his residence in Abuja in connection with the allegation of bribery made against the House of Representatives and the Speaker, Femi Gbajabiamila.
This was contained in a statement made available newsmen by his team of lawyers on Thursday, who claimed that the CUPP Spokesman was manhandled while being arrested.
The arrest happened despite a Federal High Court in Abuja, on June 4, restricting the police and the Department of State Services, DSS, from arresting the opposition party’s Spokesman</t>
  </si>
  <si>
    <t>A look into the domestic terror organization ANTIFA and how it is attempting to take over the current peaceful protests of the George Floyd death. #FoxNews
Subscribe to Fox News! https://bit.ly/2vBUvAS
Watch more Fox News Video: http://video.foxnews.com
Watch Fox News Channel Live: http://www.foxnewsgo.com/
FOX News Channel (FNC) is a 24-hour all-encompassing news service delivering breaking news as well as political and business news. The number one network in cable, FNC has been the most-watched television news channel for 18 consecutive years. According to a 2020 Brand Keys Consumer Loyalty Engagement Index report, FOX News is the top brand in the country for morning and evening news coverage. A 2019 Suffolk University poll named FOX News as the most trusted source for television news or commentary, while a 2019 Brand Keys Emotion Engagement Analysis survey found that FOX News was the most trusted cable news brand. A 2017 Gallup/Knight Foundation survey also found that among Americans who could name an objective news source, FOX News was the top-cited outlet. Owned by FOX Corporation, FNC is available in nearly 90 million homes and dominates the cable news landscape, routinely notching the top ten programs in the genre.
Watch full episodes of your favorite shows
The Five: http://video.foxnews.com/playlist/longform-the-five/
Special Report with Bret Baier: http://video.foxnews.com/playlist/longform-special-report/
The Story with Martha Maccallum: http://video.foxnews.com/playlist/longform-the-story-with-martha-maccallum/
Tucker Carlson Tonight: http://video.foxnews.com/playlist/longform-tucker-carlson-tonight/
Hannity:  http://video.foxnews.com/playlist/longform-hannity/
The Ingraham Angle: http://video.foxnews.com/playlist/longform-the-ingraham-angle/
Fox News @ Night: http://video.foxnews.com/playlist/longform-fox-news-night/
Follow Fox News on Facebook: https://www.facebook.com/FoxNews/
Follow Fox News on Twitter: https://twitter.com/FoxNews/
Follow Fox News on Instagram: https://www.instagram.com/foxnews/om/</t>
  </si>
  <si>
    <t>Gaddafi Interview (2010): Colonel Gaddafi, former premiere of Libya, is questioned on many topics including terrorism, Palestine and Israel, the Lockerbie bombing and more. Subscribe to Journeyman here: http://www.youtube.com/subscription_center?add_user=journeymanpictures
For similar stories see our North Africa playlist:
https://www.youtube.com/playlist?list=PLlGSlkijht5hhcSx4Tt5nwDdvzr2opXS9
What Was Libya Like 20 Years Ago? 
https://youtu.be/2ZHafA6dVBs
The End Of Gaddafi's Dictatorship
https://youtu.be/DjANac8606o
In this rare interview shot in February 2010 - less than two years before he was killed while hiding in a culvert - Muammar Gaddafi tells presenter George Negus he's always merely represented the will of the people.
"For 40 years I have not been the ruler, the authority has been with the people," says Gaddafi calmly. Surrounded by security guards and local TV crews in a library of his military compound, which was bombed by the Americans back in 1986, Gaddafi gives an air of quiet confidence. He continues to deny responsibility in the Lockerbie bombing and advocates a one-state solution to the Israel and Palestine conflict. He also comments on Libya's nuclear programme, and shares his opinions on terrorism and democracy. Quizzed by Negus about his softened image, Gaddafi responds that "It is the world that has changed."
Like us on Facebook:
https://www.facebook.com/journeymanpictures
Follow us on Twitter:  
https://twitter.com/JourneymanNews
https://twitter.com/JourneymanVOD
Follow us on Instagram:
https://instagram.com/journeymanpictures
For more info and downloads visit:
http://www.journeyman.tv/?lid=65621&amp;bid=10
Produced by SBS. Ref - 5884
Journeyman Pictures is your independent source for the world's most powerful films, exploring the burning issues of today. We represent stories from the world's top producers, with brand new content coming in all the time. On our channel you'll find outstanding and controversial journalism covering any global subject you can imagine wanting to know about.</t>
  </si>
  <si>
    <t>centTWINZ Innocent Sadiki and Millicent Mashile are the producers of their second online show 'I have been through the most'.  It's a documentary series that profiles victims who have been through the most in their life's and are now sharing it with the rest of the world to encourage and to hopeful inspire for the better.
This week on the show, we profile Apostle Makhado who confesses how he traveled the world to find secrete powers in order to grow the numbers of his church members.</t>
  </si>
  <si>
    <t>Leo Mohamed</t>
  </si>
  <si>
    <t>As rich, white business owners monopolize newly-available marijuana licenses, states continue to arrest people of color for cannabis crimes, even after it’s legal. This leads Hasan to ask: if cannabis can’t be legalized fairly, should it be legalized at all?
Watch Patriot Act with Hasan Minhaj on Netflix:
https://www.netflix.com/title/80239931
#Netflix #PatriotAct #HasanMinhaj
Subscribe: https://bit.ly/2OHQXpO
About Patriot Act with Hasan Minhaj:
New episodes, new topics, every Sunday - only on Netflix. Hasan Minhaj brings an incisive and nuanced perspective to global news, politics, and culture in his unique comedy series. Subscribe to the Patriot Act channel now to stay up to date with episode clips and original content from Hasan and the Patriot Act team.
About Netflix:
Netflix is the world's leading streaming entertainment service with 183 million paid memberships in over 190 countries enjoying TV series, documentaries and feature films across a wide variety of genres and languages. Members can watch as much as they want, anytime, anywhere, on any internet-connected screen. Members can play, pause and resume watching, all without commercials or commitments.
Connect with Patriot Act with Hasan Minhaj Online:
Visit Patriot Act with Hasan Minhaj WEBSITE: https://bit.ly/2JbZISS
Like Patriot Act with Hasan Minhaj on FACEBOOK: https://bit.ly/2R5RAWY
Follow Patriot Act with Hasan Minhaj on TWITTER: https://bit.ly/2CWqPkN
Follow Patriot Act with Hasan Minhaj on INSTAGRAM: https://bit.ly/2OH80Ir</t>
  </si>
  <si>
    <t>Subscribe Now: http://bit.ly/Subscribe-to-BROADLY
Where the foothills of Mount Kenya merge into the desert, the people of Samburu have maintained a strict patriarchy for over 500 years in northern Kenya. That is, until 25 years ago, when Rebecca Lolosoli founded Umoja village as a safe haven for the region's women. Umoja, which means "unity" in Swahili, is quite literally a no man's land, and the matriarchal refuge is now home to the Samburu women who no longer want to suffer abuses, like genital mutilation and forced marriages, at the hands of men.
Throughout the years, it has also empowered other women in the districts surrounding Samburu to start their own men-excluding villages. Broadly visited Umoja and the villages it inspired to meet with the women who were fed up with living in a violent patriarchy.
WATCH NEXT: Egg Freezing, Career Women, &amp; the Future of Fertility - http://bit.ly/1MNUnha
The Abortion Pill - http://bit.ly/1DwQQSo
Searching for the Last Lesbian Bars in America - http://bit.ly/1J86cde
Kate Nash on Feminism &amp; the Female Wayne's World: http://bit.ly/1JakrjV
Who's Afraid of Vagina Art? http://bit.ly/1NqxK2M
Spain's Sex Supermarket - http://bit.ly/1JcCycc
The Power Suit: http://bit.ly/1Mf8kpw
Rose McGowan on Sexism in Hollywood: http://bit.ly/1DvzkhP
Virginie Despentes on Killing Rapists: http://bit.ly/1DCDOmG
Come find us:
Broadly | https://broadly.vice.com
Facebook | https://www.facebook.com/BroadlyTV
Twitter | https://twitter.com/broadly
Tumblr | http://broadlytv.tumblr.com
Instagram | https://instagram.com/broadly
Pinterest | https://www.pinterest.com/broadlytv
Newsletter | http://bit.ly/1JKF1oA</t>
  </si>
  <si>
    <t>In an unusual clash stretching over the weekend, President Trump fired the top federal prosecutor in New York, U.S. Attorney Geoff Berman, who has criminal jurisdiction over Pres. Trump, his business, family and associates in New York. MSNBC Chief Legal Correspondent Ari Melber reports on Trump’s longstanding fixation on the office, including an unusual meeting during the Presidential transition; the key office’s key cases, including some that put heat on the Trump administration; and clues to other motivations for the termination. In a Beat segment in January 2019, Melber reported U.S. Attorney Geoff Berman could be the one federal prosecutor Trump feared “more than Bob Mueller,” the Russia special counsel, and the controversial firing suggests how much the administration was concerned about Berman’s work. (This interview is from MSNBC’s “The Beat with Ari Melber, a news show covering politics, law and culture airing nightly at 6pm ET on MSNBC. http://www.thebeatwithari.com). Aired on 6/22/2020.
» Subscribe to MSNBC: http://on.msnbc.com/SubscribeTomsnbc
MSNBC delivers breaking news, in-depth analysis of politics headlines, as well as commentary and informed perspectives. Find video clips and segments from The Rachel Maddow Show, Morning Joe, Meet the Press Daily, The Beat with Ari Melber, Deadline: White House with Nicolle Wallace, Hardball, All In, Last Word, 11th Hour, and more.
Connect with MSNBC Online
Visit msnbc.com: http://on.msnbc.com/Readmsnbc
Subscribe to MSNBC Newsletter: http://MSNBC.com/NewslettersYouTube
Find MSNBC on Facebook: http://on.msnbc.com/Likemsnbc
Follow MSNBC on Twitter: http://on.msnbc.com/Followmsnbc
Follow MSNBC on Instagram: http://on.msnbc.com/Instamsnbc
Why Trump Just Fired The One Prosecutor He Fears More Than Mueller | MSNBC</t>
  </si>
  <si>
    <t>Blood Business sheds light on the opaque trade of the blood plasma industry. From the impoverished streets of Cleveland Ohio to the golden shores of Switzerland's Lake Zurich, the film explores the intricacies around the business of blood.
Plasma, a component of blood that is highly sought-after, now costs more per liter than petrol. Used by pharmaceutical companies to create expensive medications, this precious liquid has become a lucrative commodity. This film investigates one of the largest corporations in this flourishing market, with profits soaring over €1 billion (US$1.13 billion). Their donation centers are mostly found in poor neighborhoods in the US, and they pay donors for their blood – a practice forbidden in Europe. For impoverished Americans, blood donations have become a source of income, presenting a real risk to their health, as they lie about their conditions and donate repeatedly to make ends meet. Other donors give blood in the hope of helping others, but the reality of where their donations actually go can be somewhat different. We investigate the global trade in blood and plasma donations.
From Blood Business 
Facebook - https://www.facebook.com/RealStoriesChannel
Instagram - @realstoriesdocs
Twitter: https://twitter.com/realstoriesdocs
Content licensed from Java Films. Any queries, please contact us at: owned-enquiries@littledotstudios.com
Check out our new website for more incredible documentaries: HD and ad-free. https://goo.gl/LwMcmY
Want to watch more full-length Documentaries? 
Click here: http://bit.ly/1GOzpIu</t>
  </si>
  <si>
    <t>#ExposeBillGates 
Recommended Reading:
Target Africa (Kindle version): https://amzn.to/3dd7edB
Target Africa (Paperback) : https://bit.ly/30M3jBV
Recommended Documentary:
Strings Attached: https://vimeo.com/ondemand/stringsattached
Find &amp; follow me on Twitter: @obianuju</t>
  </si>
  <si>
    <t>Don't forget to subscribe:  https://bit.ly/2Hb8hjx
Watch more interesting videos: https://bit.ly/34ogCaw
Follow Channels Television On: 
Facebook: https://www.facebook.com/channelsforum/ 
Twitter: https://twitter.com/channelstv
Instagram: https://www.instagram.com/channelstelevision/?hl=en
Get more news on our website: https://www.channelstv.com/
#ChannelsTv</t>
  </si>
  <si>
    <t>A small Texas town saw 13% of its black population arrested and charged with dealing cocaine. But a state judge in 2003 said the investigator behind the arrests was "the most devious, non-responsive law enforcement witness this court has witnessed in 25 years on the bench in Texas."
Subscribe to the 60 Minutes Channel HERE: http://bit.ly/1S7CLRu
Watch Full Episodes of 60 Minutes HERE: http://cbsn.ws/1Qkjo1F
Get more 60 Minutes from 60 Minutes: Overtime HERE: http://cbsn.ws/1KG3sdr
Relive past episodes and interviews with 60 Minutes Rewind HERE: http://cbsn.ws/1PlZiGI
Follow 60 Minutes on Instagram HERE: http://bit.ly/23Xv8Ry
Like 60 Minutes on Facebook HERE: http://on.fb.me/1Xb1Dao
Follow 60 Minutes on Twitter HERE: http://bit.ly/1KxUsqX
Get the latest news and best in original reporting from CBS News delivered to your inbox. Subscribe to newsletters HERE: http://cbsn.ws/1RqHw7T
Get your news on the go! Download CBS News mobile apps HERE: http://cbsn.ws/1Xb1WC8
Get new episodes of shows you love across devices the next day, stream local news live, and watch full seasons of CBS fan favorites anytime, anywhere with CBS All Access. Try it free! http://bit.ly/1OQA29B
---
60 Minutes, the most successful American television broadcast in history, began its 52nd season in September. Offering hard-hitting investigative reports, interviews, feature segments and profiles of people in the news, the broadcast began in 1968 is still a hit in 2020. 60 Minutes makes Nielsen’s weekly Top 10 nearly every week and was the #1 weekly television broadcast three times last season.
The program still averages more than 10 million viewers, more than double the audience of its nearest network news magazine competitor. The average audience for a 60 Minutes broadcast is 150% higher than those of the network morning news programs; the audience dwarfs the number of viewers drawn by the most popular cable news programs.  
About a million more people listen to the 60 Minutes radio simulcast in several major cities and on its companion podcast. Tens of thousands each week experience 60 Minutes online. The broadcast’s segments can be watched at 60Minutes.com and on the CBS All Access app. Its webcast, 60MinutesOvertime.com, offers content originally produced for the web, including behind-the-scenes video about the production of 60 Minutes stories and timely archival segments.
60 Minutes has won every major broadcast award. Its 25 Peabody and 150 Emmy awards are the most won by any single news program. It has also won 20 duPont-Columbia University journalism awards. Other distinguished journalism honors won multiple times include the George Polk, RTDNA Edward R. Murrow, Investigative Reporters and Editors, RFK Journalism, Sigma Delta Chi and Gerald Loeb awards.
60 Minutes premiered on CBS September 24, 1968. Bill Owens is the program’s executive producer. The correspondents and contributors of 60 Minutes are Sharyn Alfonsi, Anderson Cooper, John Dickerson, Norah O’Donnell, Scott Pelley, Lesley Stahl, Bill Whitaker and L. Jon Wertheim.</t>
  </si>
  <si>
    <t>Lets Connect On Social Media-
Instagram - https://www.instagram.com/ridergirlvishakha/
Facebook - https://www.facebook.com/VishakhaTheRiderGirl/
Twitter - https://twitter.com/riderGirl_Vish
Tiktok - https://www.tiktok.com/@ridergirl_vishakha
#corona #coronil #ridergirl</t>
  </si>
  <si>
    <t>Lets Connect On Social Media-
Instagram - https://www.instagram.com/ridergirlvishakha/
Facebook - https://www.facebook.com/VishakhaTheRiderGirl/
Twitter - https://twitter.com/riderGirl_Vish
Tiktok - https://www.tiktok.com/@ridergirl_vishakha
#RGV #motovlogger #ridergirl
.
.
Garage Uncle - +919819192245
Instagram - https://instagram.com/garageuncle?igshid=7c2hmw1jpryz</t>
  </si>
  <si>
    <t>FOR SOME TODH FODH PICTURES, SNEAK PEAK ON UNSHARED LIFE ON YOUTUBE &amp; MY CURRENT MOOD FOLLOW ME ON :-
Instagram - https://www.instagram.com/ridergirlvishakha/
Facebook - https://www.facebook.com/VishakhaTheRiderGirl/
Twitter - https://twitter.com/riderGirl_Vish
.
Abhinaya Store - https://instagram.com/theabhinayastore?igshid=1l2acoupis9kv
#kawasaki #ninjaz650 #ridergirl</t>
  </si>
  <si>
    <t>Lets Connect On Social Media-
Instagram - https://www.instagram.com/ridergirlvishakha/
Facebook - https://www.facebook.com/VishakhaTheRiderGirl/
Twitter - https://twitter.com/riderGirl_Vish
Tiktok - https://www.tiktok.com/@ridergirl_vishakha
#periods #menstruation #ridergirl</t>
  </si>
  <si>
    <t>Buy Flo Matress Here https://flomattress.com/products/flo-mattress
.
Lets Connect On Social Media-
Instagram - https://www.instagram.com/ridergirlvishakha/
Facebook - https://www.facebook.com/VishakhaTheRiderGirl/
Twitter - https://twitter.com/riderGirl_Vish
Tiktok - https://www.tiktok.com/@ridergirl_vishakha</t>
  </si>
  <si>
    <t>Lets Connect On Social Media-
Instagram - https://www.instagram.com/ridergirlvishakha/
Facebook - https://www.facebook.com/VishakhaTheRiderGirl/
Twitter - https://twitter.com/riderGirl_Vish
Tiktok - https://www.tiktok.com/@ridergirl_vishakha
#ROADRAGE #ROADRASH #motovlogger #ridergirl</t>
  </si>
  <si>
    <t>Lets Connect On Social Media-
Instagram - https://www.instagram.com/ridergirlvishakha/
Facebook - https://www.facebook.com/VishakhaTheRiderGirl/
Twitter - https://twitter.com/riderGirl_Vish
Tiktok - https://www.tiktok.com/@ridergirl_vishakha
.
 #worldshighestpoatoffice  #spiti #ridergirl</t>
  </si>
  <si>
    <t>#ShaniceShresthaVlogs  #GottaCMyGlow
presenting to you my life unfiltered through my vlogs.
This vlog is about me taking out my cycle after long, getting it fixed and why i dont ride a bike. It also has a giveaway of MAMAEARTH products and a quick review of the vitamin c range.
most of all it is about why im giving up on my workspace even though i do not want to
Song: two makes a tango ( epidemic sounds) 
Links: https://bit.ly/2UjxWdR
 (Use code  shanice2020  for 20% OFF at Mamaearth)
Amazon: https://amzn.to/37jDt9G
Nykaa:  https://bit.ly/2N0HhU9
Flipkart:  https://bit.ly/3dTtPNA  
MamaEarth is a sponsor partner for this video</t>
  </si>
  <si>
    <t>FROM NO WHERE I COULD SEE THAT ITS A LOCKDOWN. WILL UPDATE ABOUT SHADOWS HEALTH IN NEXT VLOG.TILL THAN KEEP PRAYING.
Lets Connect On Social Media-
Instagram - https://www.instagram.com/ridergirlvishakha/
Facebook - https://www.facebook.com/VishakhaTheRiderGirl/
Twitter - https://twitter.com/riderGirl_Vish
Tiktok - https://www.tiktok.com/@ridergirl_vishakha
#lockdown #quarantine #ridergirl</t>
  </si>
  <si>
    <t>YIPEEEE..... EPISODE 4 OF MY NARMADA PARIKRAMA.
Well I Am Emotional and mentally Connected To Animals...
I saw this Bus cmg from ahead and was about to kill that pup.. where in I Stopped right in front of that pup and ask bus driver who were behind me to go side se.
later I realised she was not opening her eyes and nose teeth was bleeding.. spoke to mom on call whtr I could get her home, where she made me understand that on a ride will be difficult for you to carry her.
lucky a school bus driver stops and takes her with him.
Lets Connect On Social Media-
Instagram - https://www.instagram.com/ridergirlvishakha/
Facebook - https://www.facebook.com/VishakhaTheRiderGirl/
Twitter - https://twitter.com/riderGirl_Vish
Tiktok - https://www.tiktok.com/@ridergirl_vishakha
#SOLORIDE #NARMADAPARIKRAMA #RGV #motovlogger #ridergirl</t>
  </si>
  <si>
    <t>Lets Connect On Social Media-
Instagram - https://www.instagram.com/ridergirlvishakha/
Facebook - https://www.facebook.com/VishakhaTheRiderGirl/
Twitter - https://twitter.com/riderGirl_Vish
Tiktok - https://www.tiktok.com/@ridergirl_vishakha
#photoshoot #instagram #creativitywithrgv</t>
  </si>
  <si>
    <t>HEY SQUAD RGV THIS IS MY SECOND LAST EPISODE OF NARMADA PARIKRAMA VLOG. 
Lets Connect On Social Media-
Instagram - https://www.instagram.com/ridergirlvishakha/
Facebook - https://www.facebook.com/VishakhaTheRiderGirl/
Twitter - https://twitter.com/riderGirl_Vish
Tiktok - https://www.tiktok.com/@ridergirl_vishakha
#RGV #motovlogger #ridergirl</t>
  </si>
  <si>
    <t>MY INSTAGRAM _xD83D__xDC49__xD83C__xDFFD_ https://www.instagram.com/kokavlogs/?...
_xD835__xDE48__xD835__xDE3C__xD835__xDE44__xD835__xDE47_ _xD83D__xDC49__xD83C__xDFFD_ pratik.suryawanshi1994@gmail.com
THANK YOU FOR YOUR SUPPORT</t>
  </si>
  <si>
    <t>TFI - English from the house of 'The Frustrated Indian' - India's most loved social media brand is global politics through India's lenses. Follow us for sharp analysis of Indian and global politics.
Follow the website - https://tfipost.com/
Follow the Facebook Page - https://www.facebook.com/tfipost/
Follow us on Twitter - https://twitter.com/tfipost</t>
  </si>
  <si>
    <t>Lets Connect On Social Media-
Instagram - https://www.instagram.com/ridergirlvishakha/
Facebook - https://www.facebook.com/VishakhaTheRiderGirl/
Twitter - https://twitter.com/riderGirl_Vish
Tiktok - https://www.tiktok.com/@ridergirl_vishakha
#RGV #motovlogger #ridergirl</t>
  </si>
  <si>
    <t>DAY 1 BUTAN TRIP LNK- https://youtu.be/8YqONxbCCyo
LIKE SHARE SUBSCRIBE
TO FOLLOW ME ON INSTAGRAM- https://www.instagram.com/mrspeed_tm/
TO FOLLOW ME ON FACEBOOK- https://www.facebook.com/mrspeed37/ 
TO FOLLOW PAPAWHEELIE ON INSTAGRAM- https://www.instagram.com/papawheelie_tm/
TO FOLLOW BLADERUNNER ON INSTAGRAM- https://www.instagram.com/chichin_blade_runner/
TO FOLLOW HELLBOY ON INSTAGRAM-
https://www.instagram.com/asis_tm/
TO FOLLOW DEVIL DADDY ON INSTAGRAM-
https://www.instagram.com/devildaddy_tm/
TO FOLLOW RAPTOR ON INSTAGRAM- https://www.instagram.com/samarjeet_raptor/
TO FOLLOW STORM ON INSTAGRAM- https://www.instagram.com/sawan.acharya/
Subscribe to me i put new videos every week.
If there is anything you want me to cover then do let me know.</t>
  </si>
  <si>
    <t>Daily ride updates on my Instagram page: https://www.instagram.com/candidalouis/
We did it !!! Skye &amp; Me rode from Bangalore to Sydney!! 9 Countries, 27,500kms, 1 puncture, no breakdowns, and innumerable experiences. When I started the journey it was more or less about the ride. But now when I look back it was an opportunity to experience life in a different way every day that cannot be expressed in words. This whole experience has taught me so much about us as humans and life. I have come to realize that the greatest happiness in this life is to love and be loved. Across borders, across color, across languages and across cultures, we are all the same. We can change the world and make it a better place by loving one another. and to experience all this through riding a motorcycle has to be the ultimate thing. Never in my life, I had thought that I would be able to inspire anyone in any way... But, knowing that I was able to do so through this journey is a blessing I never asked for. Thank you, everyone!!
@OverlandExpo   Motorcycle : @bajajdominar Luggage and accessory : @bikenbikerRiding gear @rynoxgears #candidalouis #worldride #bikergirl #bajajdominar #DominarAustralAsianOdyssey #alistairfarlandtribute</t>
  </si>
  <si>
    <t>THIS IS MY FIRST SOLO RIDE TO NARMADA PARIKRAMA WITH THE CAUSE OF SAVE RIVER SAVE NATION.
DAY 1 HAS BEEN TOO ADVENTURES, REST LET ME KNOW IN THE COMMENT SECTION WHICH IS YOUR FAVOURITE PART FROM THE VLOG.
9 DAYS || 9 EPISODES || 4600+Kms
Lets Connect On Social Media-
Instagram - https://www.instagram.com/ridergirlvishakha/
Facebook - https://www.facebook.com/VishakhaTheRiderGirl/
Twitter - https://twitter.com/riderGirl_Vish
Tiktok - https://www.tiktok.com/@ridergirl_vishakha
#RGV #femalemotovlogger #ridergirl #NARMADAPARIKRAMA</t>
  </si>
  <si>
    <t>Pavan Ko HALAL kar diya _xD83E__xDD2A_ BALA O BALA OH BALA..
SUBSCRIBE To His Gaming Channel Here - https://www.youtube.com/channel/UCiy_VNQmRpf0clrWnxz2evA
Lets Connect On Social Media-
Instagram - https://www.instagram.com/ridergirlvishakha/
Facebook - https://www.facebook.com/VishakhaTheRiderGirl/
Twitter - https://twitter.com/riderGirl_Vish
Tiktok - https://www.tiktok.com/@ridergirl_vishakha
#haircutathome #haircut #ridergirl</t>
  </si>
  <si>
    <t>Join us LIVE for the first ever virtual Global Vaccine Summit, hosted by the UK government, to mobilise at least US$ 7.4 billion for Gavi’s mission to protect the next generation with vaccines, reduce disease inequality and create a healthier, safer and more prosperous world.</t>
  </si>
  <si>
    <t>tony robbins motivation inspiration</t>
  </si>
  <si>
    <t>stocks to buy now best stocks to buy now BRK.B stock WM stock CMI stock WMT stock CAT stock CCI stock ECL stock UPS stock FDX stock SDGR stock Berkshire stock Waste Management stock Cummins stock Walmart stock Caterpillar stock Crown Castle stock Ecolab stock FedEx stock Schrodinger stock bill gates portfolio Rayner Teo Zip Trader Trading Fraternity Bruce Wannng JJ Buchner Chicken Genius Singapore Andrei Jikh Financial Education</t>
  </si>
  <si>
    <t>GAVI Alliance</t>
  </si>
  <si>
    <t>covid covid-19 pandemic outbreak coronavirus</t>
  </si>
  <si>
    <t>GAVI Alliance vaccins vaccination santé mondiale sécurité sanitaire mondiale immunisation partenariat public-privé Jacques-François Martin</t>
  </si>
  <si>
    <t>GAVI Alliance stockpiles emergency covid-19 vaccines vaccination immunisation vaccine supply vaccine delivery pandemics who world health organization</t>
  </si>
  <si>
    <t>CGTN News Li Keqiang China coronavirus pandemic COVID-19 Gavi vaccine</t>
  </si>
  <si>
    <t>Bill Gates Interview Bill Gates (Organization Leader) Gavi Immunisation</t>
  </si>
  <si>
    <t>Global Vaccine Summit 2020 pm modi coronavirus vaccine Summit 2020 uk summit 2020 global vaccine global vaccine summit uk on vaccine summit 2020 by uk covid-19 vaccine progress nam summit Breaking News Republic TV Republic world Arnab Goswami Republic News Republic Debate Indian Politics latest news</t>
  </si>
  <si>
    <t>global vaccine summit global vaccine summit UK UK vaccine summit vaccine summit caccine coronavirus vaccine summit covid-19 vaccine summit united kingdom wion dispatch boris johnson india to attend global vaccine summit WION wion news UK vaccine</t>
  </si>
  <si>
    <t>GAVI Alliance vaccine immunisation Global health Child health</t>
  </si>
  <si>
    <t>Good Health Wayne County Coronavirus Vaccine Vaccine Moderna Coronavirus Cases Moderna Vaccine Coronavirus Crisis Coronavirus Studies Health Detroit COVID-19 Coronavirus Event Changes Coronavirus Michigan Coronavirus Coronavirus Pandemic Coronavirus Outbreak Coronavirus Treatment</t>
  </si>
  <si>
    <t>Viable Tv ViableTv APC Senate Senator Nigerian Senate Nigerian politics INEC Buhari Nigerian government Nigerian elections BILL GATES!!!!! Do Not Take Any Vaccine------Farrakhan Warned Afri</t>
  </si>
  <si>
    <t>expert insight science facts studies study university lab medicine testing vaccination health global health healthcare information informative news coronavirus COVID19 HIV MERS SARS pandemic virus disease infection infection rate vaccine institute international international vaccine institute IVI south korea seoul director general interview doctor helpful media awareness asia global asian boss stay curious fact check scientist</t>
  </si>
  <si>
    <t>coronavirus coronavirus update coronavirus pandemic COVID 19 corona virus update COVID 19 prevention coronavirus treatment COVID 19 treatment coronavirus prevention coronavirus news antibody production coronavirus pandemic update 79 covid vaccine vaccine update coronavirus vaccine COVID 19 vaccine covid 19 vaccine update news covid 19 vaccine uk covid 19 vaccine latest update mrna vaccine mrna vaccine explained moderna vaccine epitope antigen antibody</t>
  </si>
  <si>
    <t>Lee Hsien Loong Singapore GAVI COVID-19 Prime Minister</t>
  </si>
  <si>
    <t>video cbs news Pharma vaccine cure coronavirus covid-19 pandemic outbreak disease virus</t>
  </si>
  <si>
    <t>CGTN News coronavirus vaccine</t>
  </si>
  <si>
    <t>third highest day new cases texas florida covid-19 coronavirus record gma good morning america abc news p_cmsid=2494279 p_vid=news-71444021 coronavirus news coronavirus updates hospilizations second wave</t>
  </si>
  <si>
    <t>coronavirus autopsy report coronavirus autopsy coronavirus autopsy report analysis covid-19 autopsy report covid-19 autopsy coronavirus explained coronavirus explained english coronavirus explained doctor coronavirus what is it covid 19 virus coronavirus explainer covid 19 explainer coronavirus explain #coronavirus #covid19 #covid_19 dr. mike doctor mike coronavirus covid-19 coronavirus explained by lung doctor coronavirus outbreak 2020 autopsy autopsy report</t>
  </si>
  <si>
    <t>news utah news</t>
  </si>
  <si>
    <t>video</t>
  </si>
  <si>
    <t>Corona Corona Virus Corinavirus Covid Covid 19 Pandemic Virus epidemic lung respiratory droplet infection infection immune system death death toll bacteria pneumonia bacterial pneumonia health care health care systems hospital intensive care flu swine flu bird flu WHO soap disinfection quarantine healing treatment vaccine spanish flu death rate immunity</t>
  </si>
  <si>
    <t>Free Medical Education coronavirus what is coronavirus wuhan and coronavirus coronavirus impact day to day symptoms day to day symptoms of coronavirus coronavirus 19 signs and symptoms of coronavirus how does coronavirus look like apakah virus corona itu? apakah covid-19 itu? virus corona gejala virus corona tanda virus corona corona wuhan covid-19 wuhan corona china covid-19 china virus china</t>
  </si>
  <si>
    <t>CORONAVIRUS COVID-19 HEALTH SCIENCE RESEARCH CHINA VACCINE LAB VIRUS PANDEMIC TESTS NEWS SKY NEWS vaccine scientists</t>
  </si>
  <si>
    <t>CGTN News coronavirus pandemic COVID-19 vaccine</t>
  </si>
  <si>
    <t>COVID-19 Breaking News Trump White House nbc news coronavirus update donald trump live stream Live updates live video Live news NBC News Live NBC News NBC News live Stream Live Streams NBC News NOW NBC News NOW live Nbc NOW george floyd police killing us police george floyd murder african americans justice system police officers police violence george floyd protests black lives matter justice for floyd police corruption excessive force</t>
  </si>
  <si>
    <t>Vox.com vox explain explainer soap wash your hands soap molecule coronavirus covid-19 covid 19 spread what to do blacklight demonstration classroom for students for teachers demo fat layer lipid biolayer science experiment virus soap and water hand sanitizer how long to wash coronavirus explained wash hands hand wash wash your hands song how to hand wash how to wash your hands why soap kills coronavirus how does soap kill germs soap and coronavirus</t>
  </si>
  <si>
    <t>coronavirus vaccines coronavirus vaccination corona testing coronavirus testing antibody test antibody testing corona test coronavirus test corona vaccine vaccine coronavirus triage coronavirus news coronavirus update coronavirus corona virus virus outbreak corona coronavirus outbreak coronavirus spread coronavirus pandemic lockdown coronavirus deaths corona news corona update</t>
  </si>
  <si>
    <t>this morning holly willoughby phillip schofield this morning funniest Holly &amp; Phillip funny</t>
  </si>
  <si>
    <t>Colorado State University COVID-19 research Coronavirus research research at CSU infectious diseases research Goodrich lab coronavirus vaccine covid-19 vaccine coronavirus vaccine candidate SARS-CoV-2</t>
  </si>
  <si>
    <t>health healthcare health care health insurance health policy Aaron Carroll coronavirus covid covid-19 vaccine treatment pandemic</t>
  </si>
  <si>
    <t>Bloomberg</t>
  </si>
  <si>
    <t>coronavirus Covid-19 coronavirus death rate covid fatality rate case fatality rate infection fatality rate coronavirus deaths excess mortality coronavirus in new york city Vox.com vox explain explainer death rate how deadly is coronavirus joss fong coronavirus vox coronavirus explained coronavirus nyc coronavirus new york</t>
  </si>
  <si>
    <t>coronavirus covid-19 vaccine test kits zoonotics virus cna insider cna</t>
  </si>
  <si>
    <t>vpm1002 vpm vaccine bcg vaccine coronavirus vaccine bcg coronavirus bcg corona vpm coronavirus bcg coronavirus vaccine coronavirus vaccines coronavirus vaccination corona vaccine vaccine coronavirus news coronavirus update coronavirus corona virus virus outbreak corona coronavirus outbreak coronavirus spread coronavirus pandemic coronavirus deaths corona news corona update covid 19</t>
  </si>
  <si>
    <t>Lee Hsien Loong Singapore Prime Minister May Day Labour Day Labor Day COVID-19 Jobs Unions NTUC</t>
  </si>
  <si>
    <t>thebigstory the big story straits times singapore coronavirus covid19 sgunited stay at home stay home lee hsien loong</t>
  </si>
  <si>
    <t>Prime Minister Singapore Lee Hsien Loong Dialogue Economic Club Washington DC America</t>
  </si>
  <si>
    <t>Lim Tean Peoples Voice Singapore politics PAP singapore singapore opposition politics Singapore covid employment singapore jobs singapore singapore peoples voice</t>
  </si>
  <si>
    <t>Halimah Yacob President Singapore PM Lee</t>
  </si>
  <si>
    <t>Lee Hsien Loong WHO World Health Organization Prime Minister Singapore COVID-19</t>
  </si>
  <si>
    <t>CNA Channel NewsAsia COVID-19 Lee Hsien Loong vaccine manufacturing Global Vaccine Summit diagnostics therapeutics test kits</t>
  </si>
  <si>
    <t>CNA Channel NewsAsia</t>
  </si>
  <si>
    <t>GAVI Alliance Hsien Loong Singapore</t>
  </si>
  <si>
    <t>Lee Hsien Loong Singapore Prime Minister COVID-19 coronavirus</t>
  </si>
  <si>
    <t>CNA Channel NewsAsia Donald Trump Lee Hsien Loong United States Singapore</t>
  </si>
  <si>
    <t>Lee Hsien Loong Singapore Prime Minister Hong Kong Forbes dialogue</t>
  </si>
  <si>
    <t>Prime Minister Of Singapore (Government Office Or Title) Lee Kuan Yew (Politician) Nanyang Technological University (College/University) Singapore (Country) tribute in memoriam</t>
  </si>
  <si>
    <t>INSEAD INSEAD Knowledge Singapore Lee Kuan Yew Narayan Pant</t>
  </si>
  <si>
    <t>lee hsien loong PM lee on Hong Kong PM Lee on Taiwan economic tradeoff</t>
  </si>
  <si>
    <t>bloomberg bloomberg live singapore new economy forum Lee Hsien Loog John Micklethwait</t>
  </si>
  <si>
    <t>coronavirus covid19 immune system coronavirus immune covid immune system covid 19 immune system immune response immune protection immune defense coronavirus deaths covid 19 mortality rate lockdown coronavirus lockdown corona lockdown coronavirus news coronavirus update corona virus virus outbreak coronavirus outbreak virus coronavirus pandemic</t>
  </si>
  <si>
    <t>pandemic outbreak diseas outbreak infectios diseases global pandemic global diseases disease outbreak disease pandemics coronavirus corona virus virus outbreak corona coronavirus outbreak virus coronavirus explain coronavirus explained coronavirus explainer coronavirus pandemic</t>
  </si>
  <si>
    <t>The Economist Economist Economist Films Economist Videos Politics News short-documentary covid 19 coronavirus covid-19 russia coronavirus russia coronavirus news coronavirus outbreak russia russia coronavirus cases putin russia news vladimir putin coronavirus russia russia coronavirus measures corona virus putin coronavirus coronavirus in russia covid-19 russia</t>
  </si>
  <si>
    <t>us china usa china china us war us china trade us china news usa and china trade war new cold war new kind of cold war xi jinping donald trump us vs china war china vs usa war belt and road china militarisation china cold war us china conflict us nationalism china nationalism us china war china belt and road belt and road initiative new cold war 2020 china vs us 2020 china us 2020 richard walker dw news us china sea us china military</t>
  </si>
  <si>
    <t>Documentary Documentaries documentaries DW documentary full documentary DW documentary 2020 documentary nutrition neuro-nutrition brain food brain science health neuroscience food diet brain health how to increase brain power brain documentary health documentary health myths health tips</t>
  </si>
  <si>
    <t>aerosols corona aerosols coronavirus aerosols coronavirus infection coronavirus spread coronavirus coronavirus news coronavirus update corona virus corona coronavirus outbreak coronavirus pandemic coronavirus deaths corona news corona update</t>
  </si>
  <si>
    <t>coronavirus health health effects coronavirus health coronavirus consequences coronavirus health consequences covid-19 health covid-19 long-term covid-19 lungs DW News coronavirus news coronavirus update corona virus corona coronavirus outbreak coronavirus spread coronavirus pandemic coronavirus deaths corona news corona update coronavirus what does it do coronavirus what does it do to your body coronavirus what it does coronavirus what happens</t>
  </si>
  <si>
    <t>uvc light corona uv light coronavirus uv light uvc uv light coronavirus uvc light uvc robots coronavirus covid 19 covid19 covid 19 news coronavirus news covid-19 updates coronavirus outbreak</t>
  </si>
  <si>
    <t>DW News air travel coronavirus coronavirus flight coronavirus plane covid 19 flying coronavirus flying covid19 coronavirus test corona test coronavirus testing covid 19 test covid 19 news corona testing</t>
  </si>
  <si>
    <t>dw news live news breaking news news tv live tv news today deutsche welle deutsche welle news nive news tv tv live news daily news</t>
  </si>
  <si>
    <t>CBSN Boston moderna wbz-tv coronavirus vaccine</t>
  </si>
  <si>
    <t>flu spanish flu influenza plague 1918 flu 1918 spanish flu 1918 pandemic pandemic the plague black death modern black plague spanish flu origin 1918 influenza pandemic 1918 spanish flu pandemic COVID-19 COVID 19 covid19 Pandemic Comparison coronavirus pandemic covid-19 virus coronavirus covid-19 pandemic</t>
  </si>
  <si>
    <t>covid covid 19 coronavirus coronavirus news coronavirus documentary coronavirus lockdown COVID-19 social distancing Four Corners investigation Prime Minister Australian Government science quarantine documentary virus vaccine COVID-19 vaccine coronavirus vaccine treatment vax funding Australia CSIRO Geelong UQ University of Queensland cervical cancer vaccine ebola equality big pharma pharmacology US United States CEPI donations Bill Gates pandemic vaccine virology</t>
  </si>
  <si>
    <t>volcano new zealand eruption White Island victims Royal Caribbean New Zealand volcano tragedy cruise cruises investigation documentary investigative journalism Australia Sydney victim burns pilot helicopter hero tourists tourism cruise tourism cruise ship volcano monitoring service GNS Science explosion erupt black ash survivors survivor tour guide skin Apocalyptic safe legal proceedings ash rescue choppers save perish Whakatane NZ Four Corners ABC News Australian</t>
  </si>
  <si>
    <t>60 Minutes 60 Minutes Australia Liz Hayes Charles Wooley Tara Brown Liam Bartlett Allison Langdon Tom Steinfort Ellen Fanning Peter Overton Karl Stefanovic Ray Martin Peter Stefanovic Mike Munro Sarah Abo Nicole Kidman Keith Urban Dev Patel Lion Survival searching lost lost parents lost child orphanages orphanage adopted Philippines Filipino Manila finding market marketplace separated australia sydney Melbourne Joel De Carteret family tracking DNA genes</t>
  </si>
  <si>
    <t>news abc abc news australia Australian Story Australian TV The Leyland Brothers Mal Leyland Mike Leyland Travel all over the countryside Ask the Leyland Brothers song Leyland Brothers theme Leyland Brothers world Outback Northern Territory Australian roadtrip Ayres Rock Uluru 1970s Australia 4WD Leyland Brothers</t>
  </si>
  <si>
    <t>Documentary Documentaries documentaries DW documentary full documentary DW documentary 2020 documentary climate change sea level flooding environmental protection science</t>
  </si>
  <si>
    <t>Los Angeles Times LA Times L. A. Times coronavirus science dr. patrick soon-shiong vaccine science behind the coronavirus covid-19</t>
  </si>
  <si>
    <t>DR. ANTHONY FAUCI VACCINE TIMELINE RACE FOR VACCINE RESEARCH IMMUNITY HERD IMMUNITY MRNA VACCINE DNA VACCINE COVID-19 CORONAVIRUS VACCINE JOHNSON &amp; JOHNSON Vaccines Life Sciences Specialized Drugs Medications Pharmaceuticals Health Political General News Novel Coronaviruses pfizer moderna moderna vaccine vaccine explained inovio wsj coronavirus wsj coronavirus wsj covid the wall street journal coronavirus news coronavirus explained wsj explains</t>
  </si>
  <si>
    <t>covid covid 19 coronavirus coronavirus news coronavirus documentary corona virus coronavirus lockdown COVID-19 social distancing Four Corners investigation Scott Morrison Prime Minister Australian Government science decisions lockdown quarantine documentary economy unemployment loss money finance financial Australian economy reserve bank Phillip Lowe cadid interviews exclusive David Speers Insiders host treasurer experts josh frydenberg mathias cormann liberal</t>
  </si>
  <si>
    <t>cna cna insider cna insider documentaries cna insight covid-19 indonesia jakarta testing</t>
  </si>
  <si>
    <t>heroin painkiller addiction pill mill bribing doctors insys therapeutics opioid painkillers insys documentary opioid crisis documentary opioids documentary heroin documentary subsys insys subsys subsys documentary wall street profits wall street documentary john kapoor alec burlakoff insurance fraud</t>
  </si>
  <si>
    <t>60 Minutes 60 Minutes Australia Liz Hayes Charles Wooley Tara Brown Liam Bartlett Allison Langdon Tom Steinfort Ellen Fanning Peter Overton Karl Stefanovic Ray Martin Peter Stefanovic Mike Munro Sarah Abo tonga Vanuatu china syndrome south pacific islands industrialism construction chinese communist islanders territory legal shipping land rights civil rights island</t>
  </si>
  <si>
    <t>Medicine open access science health care covid 19 coronavirus vaccine vaccine for covid COVID-19 prevention vaccines ACTIV</t>
  </si>
  <si>
    <t>physiology nursing NCLEX health disease biology medicine nurse education medical education pathophysiology campbell human biology human body</t>
  </si>
  <si>
    <t>Pascal Soriot UK USA Donald trump Favipiravir Russia coronavirus vaccine vaccine coronavirus vaccine update covid 19 vaccine corona virus coronavirus vaccine news corona coronavirus vaccine update today vaccine for coronavirus coronavirus vaccine research covid vaccine coronavirus vaccine latest update corona vaccine test covid-19 vaccine coronavirus vaccine abp america on corona vaccine britain on corona vaccine oxford university AstraZeneca Brazil US</t>
  </si>
  <si>
    <t>corona treatment corona cure corona medicine coronavirus corona coroanvirus medicine coronavirus treatment coronavirus cure hydroxychloroquine remdesevir corona virus virus outbreak coronavirus outbreak virus corona virus vaccine coronavirus quarantine coronavirus explained coronavirus explainer coronavirus test coronavirus tests tests coronavirus therapy coronavirus medicine vaccine corona vaccine coronavirus news coronavirus update</t>
  </si>
  <si>
    <t>news abc abc news australia Australian Story COVID19 coronavirus Australia Spanish flu Spanish flu Australia Q Station quarantine Spanish flu Peter Hobbins pandemic Australia First World War and Spanish flu pneumonic influenza australian documentaries 2020</t>
  </si>
  <si>
    <t>cruise ship Ruby Princess coronavirus Ruby Princess flu-like symptoms outbreak NSW Health doctor test questions mistakes global pandemic spread Carnival Corporation Sydney Harbour disembark dead death virus Chinese virus COVID-19 cruise life Diamond Princess Australia documentary cruise ship documentary infection control Four Corners staff NSW Police NSW premier Gladys Berejiklian government decision ABC News Carnival cruises is it safe to go on a cruise</t>
  </si>
  <si>
    <t>covid 19 covid 19 vaccine vaccine seema dr seema yasmin cause and control wired cause and control cause and control wired dr yasmin wired wired dr seema yasmin covid 19 wired wired covid 19 coronavirus coronavirus wired coronavirus vaccine vaccine coronavirus vaccine corona vaccine covid vaccine covid 19 covid 19 vaccine wired covid 19 vaccine timeline coronavirus vaccine timeline wired corona corona vaccine how fast could we make a vaccine wired</t>
  </si>
  <si>
    <t>60 Minutes 60 Minutes Australia Liz Hayes Charles Wooley Liam Bartlett Allison Langdon Tom Steinfort Ellen Fanning Sarah Abo covid 19 coronavirus coronavirus vaccine covid 19 vaccine covid vaccine volunteer for coronavirus medical research dr arthur kaplan barry marshall nobel prize injecting people with coronavirus hope for a coronavirus vaccine coronavirus cure covid cure 12 months vaccine 18 months vaccine aids vaccine nasal spray vaccine</t>
  </si>
  <si>
    <t>Yahoo Finance Personal Finance Money Investing Business Savings Investment Stocks Bonds FX Currencies NYSE Equities News Politics Market Markets Market Movers Midday Movers DR. FAUCI CORONAVIRUS VACCINE COVID-19 VACCINE reopening the country pandemic resurgence</t>
  </si>
  <si>
    <t>News Republicans Democrats Elections Joe Biden Donald Trump Best of last night 2020 Elections Morning Joe Joe Scarborough Mika Brzezinski Willie Geist MSNBC MSNBC news MSNBC live MSNBC TV breaking news current events US news politics politics news political news morning joe full morning joe live morning joe today New polling biden 2020 polls joe biden 2020 election polls biden 2020 trump 2020 joe biden election donald trump election polls</t>
  </si>
  <si>
    <t>coronavirus coronavirus update coronavirus pandemic COVID 19 corona virus update COVID 19 prevention coronavirus treatment COVID 19 treatment coronavirus prevention coronavirus news Coronavirus Pandemic Update 81 hydroxychloroquine lancet hydroxychloroquine study remdesivir news covid 19 prevention covid-19 hydroxychloroquine prophylactic randomized control trial QTc qt prolongation cardiac arrhythmia pandemic second wave coronavirus second wave covid 19</t>
  </si>
  <si>
    <t>nbc news nbc news breaking news us news world news politics nightly news current events top stories pop culture lester holt center for disease control quarantine symptoms social distancing virus protection COVID-19 pandemic outbreak coronavirus pandemic coronavirus outbreak coronavirus prevention coronavirus explained covid-19 news covid-19 updates covid-19 outbreak corona Unemployment unemployment benefits unemployment rate 2020 coronavirus news</t>
  </si>
  <si>
    <t>covid 19 coronavirus corona virus your health with dr christy christy risinger md reisinger dr christy risinger vaccine for covid 19 vaccine for coronavirus update on vaccine for covid 19 update on vaccine for coronavirus</t>
  </si>
  <si>
    <t>covid coronavirus vaccine corona vaccine vaccine researchers vaccine research coronavirus vaccine research vaccine research corona virus coronavirus research covid 19 covid 19 vaccine covid 19 vaccines covid 19 vaccine research vaccine research covid 19 covid 19 wired wired covid 19 vaccine rna vaccine dna vaccine recombinant protein vaccine covid vaccine creation making a covid vaccine quarantine virus virus virus vaccine vaccine for virus wired</t>
  </si>
  <si>
    <t>wired video wired magazine wired uk wired science conde nast health coronavirus covid 19 coronavirus vaccine coronavirus cure when will coronavirus end vaccine for coronavirus coronavirus news coronavirus briefing uk coronavirus trials coronavirus vaccine trials covid 19 vaccine covid vaccine coronavirus human trials wired explains future cities silicon valley of hardware wired autocomplete wired autocomplete interview autocomplete interview</t>
  </si>
  <si>
    <t>Los Angeles Times LA Times L. A. Times coronavirus vaccine covid-19 pandemic Dr. Fauci</t>
  </si>
  <si>
    <t>Wion world news Wion News Latest English News International News coronavirus symptoms coronavirus news coronavirus vaccine coronavirus treatment covid 19 treatment covid 19 symptoms covid 19 virus coronavirus disease coronavirus china coronavirus cure coronavirus antidote WION wion news vaccine of covid-19 china Coronavirus vaccine gravitas China blocking a Coronavirus vaccine</t>
  </si>
  <si>
    <t>CNBC business news news channel news station breaking news us news world news cable cable news finance new money financial news stock market news stocks money tips finance stop</t>
  </si>
  <si>
    <t>the daily show trevor noah daily show with trevor noah the daily show episodes comedy central comedians comedian funny video comedy videos funny clips noah trevor trevor noah latest episode daily show trevor news politics daily show trump trevor noah trump trump coronavirus corona virus COVID COVID-19 Jon Stewart Jon Stewart interview trevor noah interview confederate statues systemic racism racist pandemic social distancing Irresistible jon stewart movie</t>
  </si>
  <si>
    <t>Fast Money Halftime Report CNBC business news finance stock stock market news channel news station breaking news us news world news cable cable news finance news money money tips financial news stock market news stocks</t>
  </si>
  <si>
    <t>Congress National Security Police Brutality Best of last night Morning Joe george floyd police violence police murder police racism police killing racism racist racist police george floyd murder black lives matter african americans black americans cops protest george floyd protests civil rights george floyd arrest george floyd death george floyd killed george floyd police george floyd protest peaceful protests Un-American Undemocratic State Madeleine</t>
  </si>
  <si>
    <t>latest News Happening Now CNN dr sanjay gupta health us news covid new day john berman camerota</t>
  </si>
  <si>
    <t>News Health Politics Economy Donald Trump Best of last night Coronavirus Morning Joe Joe Scarborough Willie Geist MSNBC MSNBC news current events political news elections morning joe full coronavirus symptoms cdc center for disease control quarantine symptoms social distancing virus protection coronavirus outbreak COVID-19 pandemic coronavirus pandemic coronavirus prevention coronavirus explained covid-19 news covid-19 updates covid-19 outbreak dr gupta</t>
  </si>
  <si>
    <t>Late Night with Seth Meyers Rachel McAdams John Early NBC NBC TV television funny talk show comedy humor stand-up parody snl seth meyers host promo seth meyers weekend update news satire satire Covid-19 Coronavirus Quarantine news current news charity poverty social distancing isolation health healthcare pandemic Donald Trump President Trump Kung Flu testing cure vaccine virus disease CDC WHO Trump Rally reopening economy Rally corona health care</t>
  </si>
  <si>
    <t>the daily show trevor noah daily show with trevor noah the daily show episodes comedy central comedians comedian funny video comedy videos funny clips noah trevor trevor noah latest episode daily show trevor news politics daily show trump trevor noah trump trump coronavirus corona virus COVID COVID-19 coronavirus cases coronavirus spike coronavirus vaccine social distancing president trump EU EU bans americans pandemic</t>
  </si>
  <si>
    <t>latest News Happening Now CNN fauci health medical dr anthony fauci the situation room wolf blitzer tsr covid 19 coronavirus us news</t>
  </si>
  <si>
    <t>coronavirus covid 19 covid-19 covid19 coronavirus symptoms coronavirus vaccine coronavirus cases coronavirus pandemic coronavirus news coronavirus update science health anti vaxxers anti-vaxxers ian sample coronavirus vaccine update guardian coronavirus explainer how long will a vaccine take vaccine vaccination vaccine for coronavirus covid-19 vaccine covid vaccine vaccine covid 19 world 2020 how do vaccines work ted talk vaccine coronavirus vaccine update</t>
  </si>
  <si>
    <t>Morning Show Health</t>
  </si>
  <si>
    <t>Australia abc abc news news Covid-19 coronavirus Kawasaki disease MIS-C David Vargas Dr George Ofori-Amanfo New York Mt Sinai Hospital paediatricians ABC 7.30 7.30</t>
  </si>
  <si>
    <t>Channel 4 News china virus china virus coronavirus virus in china china news china disease covid-19 corona coronavirus china coronavirus pandemic coronavirus uk lockdown lifted coronavirus uk lockdown coronavirus ending lockdown pandemic ending coronavirus future coronavirus future predictions coronavirus world lockdown end uk lockdown end date uk lockdown end date how long the pandemic might last how long coronavirus life lockdown end lockdown end news</t>
  </si>
  <si>
    <t>Squawk Box U.S. CNBC business news finance stock stock market news channel news station breaking news us news world news cable cable news finance news money money tips financial news stock market news stocks</t>
  </si>
  <si>
    <t>arirang tv south korea korean SouthKorea ArirangNews news Seoul arirangtv 아리랑tv 아리랑뉴스 뉴스 북한 northkorea 대한민국 미국 U.S. policy politics 모더나 백신 시험 치료제 의약 코로나19 세계 보건 국제 사망 죽음 기구 신종코로나 바이러스 폐렴 우한 중국 전염병 질병 환자 병원 정치 정책 방역 격리 COVID19 WHO novel coronavirus pandemic confirmed World Health Organization Wuhan China worldwide epidemic death quarantine report briefing measure inspection Moderna vaccine trial</t>
  </si>
  <si>
    <t>vox.com vox explain quibi vox quibi answered vox answered coronavirus covid-19 airplanes travel air travel safe flying flying coronavirus flying covid-19 airplane design cleo abram air travel safety is flying safe coronavirus airplane coronavirus plane coronavirus flying explainer</t>
  </si>
  <si>
    <t>doctor covid 19 coronavirus doctor diary coroavirus doctor covid 19 doctor doctor covid doctor covid 19 new york city hospital nyc hospital new york hospital new york city hospital covid nyc hospital covid covid nyc hospital wired covid covid 19 doctor interview doctor interview covid 19 doctor diary pandemic nyc covid 19 wired wired coronavirus wired coronavirus nyc coronavirus new york new york covid new york covid 19 dr covid</t>
  </si>
  <si>
    <t>Coronavirus COVID-19 toilet vaccine antibodies immunity</t>
  </si>
  <si>
    <t>covid doctor covid 19 covid-19 covid-19 doctor covid-19 surgeon covid-19 seattle covid-19 interview covid-19 annie onishi annie onishi wired annie onishi wired surgeon wired surgeon explains surgical resident wired surgical resident coronavirus doctor diary of a covid-19 nurse covid-19 diary covid annie onishi wired video doctor wired surgeon wired surgeon reacts surgical resident reacts covid 19 diary covid diary wired</t>
  </si>
  <si>
    <t>sky news vaccine covid19 covid-19 coronavirus uk update latest government health nhs funding scientists virus pandemic lab laboratory dna cells imperial college london oxford university oxford vaccine epidemic outbreak united kingdom england matt hancock secretary spending scotland ireland wales</t>
  </si>
  <si>
    <t>coronavirus covid-19 pandemic vaccine trials health wellness social distancing community spread gma abc news p_cmsid=2494279 p_vid=news-71191614 coronavirus update coronavirus map second wave Dr. Fauci Northwestern Memorial Hospital transplant covid phase three corona phase three phase 3 testing</t>
  </si>
  <si>
    <t>good morning britain breakfast show news morning news gmb good morning britain interview itv piers morgan susanna reid Talk Shows - Topic ross greer ross greer gmb ross greer msp winston churchill adolf hitler bob seely bob seely mp piers morgan furious piers morgan row</t>
  </si>
  <si>
    <t>SKY LIVE NEWS CORONAVIRUS COVID--19 PANDEMIC EPIDEMIC ILLNESS SECOND WAVE SICK PEOPLE GERMANY ABROAD MEAT PACKING FACTORY</t>
  </si>
  <si>
    <t>BBC Travel Show BBC Travel Show travel new travel BBC Travel World Travel Travel doc BBC travel doc coronavirus coronavirus flying travel covid19 coronavirus air travel coronavirus flights</t>
  </si>
  <si>
    <t>good morning britain breakfast show news morning news gmb good morning britain interview morning breakfast show itv morning morning show piers morgan susanna reid Statues Debate Argument Heated Trisha</t>
  </si>
  <si>
    <t>BREAKING NEWS NEWS SKY NEWS LIVE UK BREXIT SKY TRUMP POLITICS SKYNEWS.COM WEATHER VIRUS EU BORIS JOHNSON CORONAVIRUS COVID-19 SKY NEWS BRITAIN NHS LOCKDOWN PANDEMIC SELF-ISOLATE DEATHS US ROYAL WUHAN AMERICA QUEEN FURLOUGH MASKS SCOTLAND IMMIGRATION POLICE PROTESTS BRISTOL BLM RACISM ECONOMY BLACK LIVES MATTER PUBS RESTAURANTS ELECTION RALLY STABBING TRAVEL CINEMAS HAIRDRESSERS TWO-METRE SOCIAL DISTANCING HEATWAVE HOT SUN ROBERT JENRICK HOUSING SECRETARY ANTIBODY TEST</t>
  </si>
  <si>
    <t>coronavirus vaccine coronavirus vaccine trials coronavirus vaccine volunteers young people and coronavirus coronavirus coronavirus testing coronavirus pandemic coronavirus outbreak covid-19 coronavirus challenge trials covid-19 vaccine fast controversial research volunteering to get coronavirus diseases CDC NIH Dr. Fauci Anthony Fauci desase coronavirus second wave coronavirus vaccine time health science medical research pbs pbs newshour COVID-19 vaccine</t>
  </si>
  <si>
    <t>covid 19 covid survibor covid survivor carona virus corona virus corona survivor elderly covid survivor</t>
  </si>
  <si>
    <t>covid 19 corona virus coronavirus face masks and covid 19 dr christy risinger christy risinger md dr christy your health with dr christy face covering and covid 19</t>
  </si>
  <si>
    <t>Corona coronavirus symptoms of coronavirus COVID 19 COVID-19 corona virus christy risinger md christy risinger corona update dr christy risinger coronavirus symptoms your health now your health reisinger</t>
  </si>
  <si>
    <t>coronavirus COVID-19 corona virus coronavirus update coronavirus news coronavirus latest news coronavirus outbreak corona virus update coronavirus pandemic coronavirus headlines coronavirus today Coronavirus Vaccines Vaccine Coronavirus vaccine Vaccinations</t>
  </si>
  <si>
    <t>pediatric multisymptom inflammatory syndrome covid 19 and kid covid 19 and children covid 19 and kids coronavirus and kids covid 19 and parents christy risinger md dr christy risinger reisinger your health with dr christy</t>
  </si>
  <si>
    <t>Nightly News U.S. News Coronavirus NBC Nightly News with Lester Holt</t>
  </si>
  <si>
    <t>Nightly News U.S. News There’s Good News Tonight NBC Nightly News with Lester Holt</t>
  </si>
  <si>
    <t>Nightly Netcast Nightly News Netcast nbc news news breaking news us news world news politics nightly news current events top stories pop culture business health nightly news full episode full episode lester holt coronavirus symptoms cdc quarantine symptoms social distancing virus protection COVID-19 pandemic outbreak coronavirus pandemic coronavirus outbreak coronavirus explained covid-19 news covid-19 updates covid-19 outbreak corona hospitalizations</t>
  </si>
  <si>
    <t>global pandemic coornavirus corona update second wave coronavirus second wave coronavirus brazil coronavirus peak coronavirus spread jair bolsonaro brazil coronavirus cases coronavirus deaths coronavirus coronavirus death toll coronavirus update coronavirus news corona virus virus outbreak corona coronavirus outbreak virus coronavirus europe coronavirus pandemic coronavirus lockdown corona deaths coronavirus numbers coronavirus bolsonaro</t>
  </si>
  <si>
    <t>Wion world news Wion News Latest English News International News coronavirus coronavirus news coronavirus death corona corona virus coronavirus latest latest coronavirus news coronavirus death today coronavirus deaths coronavirus pandemic covid 19 china virus pandemic epidemic coronavirus new cases coronavirus news today coronavirus today wion wion videos CureVac corona vaccine corona vaccine human trials corona vaccine update</t>
  </si>
  <si>
    <t>Nightly News U.S. News Coronavirus NBC Nightly News with Lester Holt nbc news news breaking news us news world news politics current events top stories pop culture business health nbc nightly news lester holt nbc news lester holt nbc nightly news episode nbc news full nightly news full Coronavirus Cases Spike Coronavirus Cases covid-19 covid-19 cases covid-19 in houston Hospital Capacity Concerns governor of Texas state’s reopening ICU capacity</t>
  </si>
  <si>
    <t>Politics Donald Trump Health White House Best of last night Coronavirus msnbc</t>
  </si>
  <si>
    <t>Nightly News Politics NBC Nightly News with Lester Holt nbc news news breaking news us news world news current events top stories pop culture business health nbc nightly news lester holt nbc news lester holt nbc nightly news episode nbc news full nightly news full</t>
  </si>
  <si>
    <t>Nightly News Netcast nbc news news breaking news us news world news politics nightly news current events top stories pop culture business health nbc nightly news full episode nightly news full episode nightly news full episode full episode lester holt Nightly news full broadcast nightly netcast coronavirus cases Several States Pregnant Women NYPD Officer Racial Disparity COVID Crisis Million Unemployment Predicts Masks CDC Issues investigations</t>
  </si>
  <si>
    <t>NBC News NOW Deep Dives Coronavirus Coronavirus - Culture coronavirus update coronavirus us coronavirus news coronavirus latest news coronavirus symptoms cdc center for disease control quarantine symptoms social distancing virus protection outbreak coronavirus outbreak COVID-19 pandemic coronavirus pandemic coronavirus prevention coronavirus explained covid-19 news covid-19 updates covid-19 outbreak corona Pre-Pandemic Levels Jacob Ward latest news</t>
  </si>
  <si>
    <t>Covid-19 coronavirus Vox.com vox explain explainer covid virus particles airborne droplets runners cyclists is it safe to go to are beaches safe outside inside are runners dangerous are runners going to get me sick through the air breathing coronavirus vox coronavirus mask coronavirus airborne coronavirus outside coronavirus masks public health coronavirus spread coronavirus transmission coronavirus air coronavirus running coronavirus risk running covid</t>
  </si>
  <si>
    <t>covid 19 covid-19 coronavirus virus pandemic global pandemic news 2020 vaccine coronavirus vaccine covid-19 vaccine the infographics show corona covid 19 cases covid 19 outbreak covid testing</t>
  </si>
  <si>
    <t>Nightly Netcast Nightly News Netcast nbc news news breaking news us news world news politics nightly news current events top stories pop culture business health nightly news full episode lester holt U.S. coronavirus COVID-19 pandemic outbreak coronavirus pandemic coronavirus outbreak coronavirus prevention protest civil rights george floyd arrest george floyd death george floyd killed george floyd police george floyd protest george floyd riots</t>
  </si>
  <si>
    <t>scmp south china morning post scmp china scmp coronavirus china news china coronavirus china Covid-19 Covid-19 scmp china coronavirus vaccine coronavirus vaccine Covid-19 vaccine china lab vaccine china vaccine tests coronavirus vaccine test</t>
  </si>
  <si>
    <t>curly tales curly tails coronavirus coronavirus pandemic recovery corona recovery Story Of COVID-19 Recovery corona death rates corona recovery rates coronavirus latest update coronavirus latest numbers coronavirus india coronavirus mumbai coronavirus update coronavirus test coronavirus symptoms coronavirus vaccine coronavirus story</t>
  </si>
  <si>
    <t>Squawk on the Street CNBC business news finance stock stock market news channel news station breaking news us news world news cable cable news finance news money money tips financial news stock market news stocks</t>
  </si>
  <si>
    <t>good morning britain breakfast show news morning news gmb good morning britain interview itv piers morgan susanna reid Talk Shows - Topic Trans Rights Trans-Sexual Debate JK Rowling Harry Potter Emma Watson Daniel Radcliffe india willoughby</t>
  </si>
  <si>
    <t>Vaccination Vaccine Tests Coronavirus Vaccine Vaccine Hpv Vaccine Hiv Vaccine Environment TRT TRT World TRT News</t>
  </si>
  <si>
    <t>this morning holly willoughby phillip schofield this morning funniest Holly &amp; Phillip funny ruth langsford this morning funniest moments chat shows - topic compilation this morning compilation funniest of the month holly willoughbys funniest moments holly \\&amp; phillip best bits phillip schofield funny moments compilation fails compilation vines this morning laughing this morning phillip and holly laughing</t>
  </si>
  <si>
    <t>bbc bbc news news coronavirus virus vaccine Oxford human trial volunteers injection first Covid-19 meningitis hope deaths protection immunity antibodies immune system lab university key workers testing test symptoms health secretary Matt Hancock government NHS doctors nurses frontline staff online centres mobile facilities Sophie Raworth Fergus Walsh Hugh Pym medical correspondent Science Editor latest</t>
  </si>
  <si>
    <t>adopted a six year old Ukrainian child horror story this morning adopted ukrainian 6 year old adopted girl is 22 years old adopted girl tried to kill family adopted ukrainian dwarf adopted girl abandoned 6 year old girls is 22 years old kristine barnett adopted girl from ukraine natalia grace kristine barnett Kristine and Michael Barnett natalia grace adoption this morning adopted ukraine girl holly willoughby phillip schofield adoption surprise</t>
  </si>
  <si>
    <t>good morning britain breakfast show news morning news gmb good morning britain interview itv piers morgan susanna reid Talk Shows - Topic Health R-Rate Germany Dr H Ask Dr Hilary</t>
  </si>
  <si>
    <t>Covid vaccine covid coronavirus vaccine covid 19 vaccine Covid vaccine news latest how close are we to a covid 19 vaccine corona vaccine status coronavirus covid 19</t>
  </si>
  <si>
    <t>Bottom Line CNBC business news finance stock stock market news channel news station breaking news us news world news cable cable news finance news money money tips</t>
  </si>
  <si>
    <t>latest News Happening Now CNN President Donald Trump Politics US News World News</t>
  </si>
  <si>
    <t>The Late Show Late Show Stephen Colbert Steven Colbert Colbert celebrity celeb celebrities late night talk show comedian comedy CBS joke jokes funny funny video funny videos humor hollywood famous</t>
  </si>
  <si>
    <t>Worldwide Exchange CNBC business news finance stock stock market news channel news station breaking news us news world news cable cable news finance news money money tips financial news stock market news stocks</t>
  </si>
  <si>
    <t>Republicans Ari Melber White House Ukraine New Jersey Donald Trump Best of last night Trump Impeachment Inquiry The Beat with Ari Melber MSNBC NBC News breaking news us news world news politics current events top stories pop culture business liberal progressive ari melber msnbc msnbc live ari melber live news John Bolton 2020 Elelction Bush administration Christine Todd Whitman mentally qualified Bridges Burned Best People Republican Governor</t>
  </si>
  <si>
    <t>latest News Happening Now CNN anderson cooper ac360 donald trump coronavirus health politics</t>
  </si>
  <si>
    <t>latest News Happening Now CNN colin powell state of the union sotu jake tapper politics donald trump</t>
  </si>
  <si>
    <t>latest News Happening Now CNN president donald trump religion culture politics schenk amanpour michelle martin cnni</t>
  </si>
  <si>
    <t>latest News Happening Now CNN anderson cooper ac360 dr sanjay gupta health politics president donald trump coronavirus covid 19</t>
  </si>
  <si>
    <t>trump celebrity election 2020 Inside Edition Inside_Edition IE Trump IE Politics IE Election 2020 mary trump book trump niece tell all book trump niece family secrets trump family betrays trump tax investigation trump investigation source trump cut off medical insurance</t>
  </si>
  <si>
    <t>Trump media midterms press conference CNN US President White House donald trump donald trump press conference midterm elections results 2018 midterm elections press conference jim acosta jim acosta banned from white house jim acosta cnn jim acosta banned jim acosta white house president trump jim acosta president trump</t>
  </si>
  <si>
    <t>jimmy jimmy kimmel jimmy kimmel live late night talk show funny comedic comedy clip comedian mean tweets Jimmy Kimmel Live From His House Coronavirus COVID-19 Social Distancing Quarantine Donald Trump Trump POTUS President White House Trump Tweet Twitter Florida Trump Birthday California LA Los Angeles West Point Trump Drinking Water Commencement Speech Marco Rubio Trump Ramp Going down the ramp DJTJ Donald Trump Junior Trump Birthday Cards</t>
  </si>
  <si>
    <t>obama 2004 convention speech Podium politics convention speech campaign Democratic National Convention RNC DNC historic best speech Mario Cuomo Governor Cuomo President Barack Obama Barry Goldwater Sarah Palin republican democrat thnkr thinker thinkr think thnk thnkrtv learning web series web tv shows online documentaries educational video free education videos online adult education inspiring people Barack Obama (US President) Obama 2013 Inauguration</t>
  </si>
  <si>
    <t>latest News Happening Now CNN covid 19 coronavirus politics biden president donald trump health</t>
  </si>
  <si>
    <t>Fox News Channel Fox News News Trump trump today trump remarks president trump president trump remarks trump Tweets Trump progressive democrats progressive dems house democrats white house white house news white house today donald trump us news trump news trump speech top stories president trump speech president donald trump freshman democrats Freshman dems</t>
  </si>
  <si>
    <t>Fox News Channel Fox News News FNC outnumbered harris faulkner trump donald trump trump fox news trump interview trump fox news interview trump police trump police reform police reform law enforcement trump law enforcement trump exclusive interview president donald trump seattle trump seattle seattle autonomous zone chaz seattle trump 2020 biden vs trump trump biden us police force police use of force police protests trump police protest</t>
  </si>
  <si>
    <t>vaccine vaccine development coronavirus vaccine healthcare health public health medicine medical research science biology clinical testing antibodies virus antibodies zika covid 19 vaccine manufacturing vaccine testing vaccine design attenuated vaccine inactivated vaccine sub unit vaccines education animation dan kwartler good bad habits TED TED-Ed TED Ed Ted Education</t>
  </si>
  <si>
    <t>coronavirus wuhan virus quarantine china news world news the infographics show symptoms of coronavirus disease COVID-19 covid infection health</t>
  </si>
  <si>
    <t>area 51 storm area 51 area 51 aliens aliens alien area 51 raid us military classified 2019 storming area 51 education educational storming animation animated area 51 memes air force area 51 meme ufo area</t>
  </si>
  <si>
    <t>Animated Animate Educate Educational Fort Knox Gold Money Wealthy Wealth Rob Robbers Crime Criminals security heist fort most secure heavily guarded guarded places heavily guarded places heavily protected gold reserve guarded in the world vault</t>
  </si>
  <si>
    <t>Covid 19 covid-19 coronavirus pandemic virus global pandemic small pox the black death black plague spanish flu countdown the infographics show top 10 news world news yellow fever history fever flu 1918 1917</t>
  </si>
  <si>
    <t>lottery jackpot mega millions mega millions winners mega millions drawing 2018 winning winner winning numbers mega millions jackpot powerball lotto billion billions million millions billionaire millionaire mega mega millions winner lottery winner lottery numbers lottery winners lottery ticket lottery winners curse winning the lottery why do lottery winners go broke broke lottery winners fail money win the lottery win megamillions power ball powerball winner</t>
  </si>
  <si>
    <t>military nuclear weapons military sites ufo ufos aliens alien war weapons nuclear soldiers army Russia Unitde states</t>
  </si>
  <si>
    <t>1000 feet surreal fantasy tall giant funny weird the infographics show height 1000 ft feet nightmare dream scene dream story what if</t>
  </si>
  <si>
    <t>airport sale for sale flying aviation airplane airplanes purchase buying real estate the infographics show airports new airport</t>
  </si>
  <si>
    <t>zodiac killer the zodiac killer zodiac serial killer killer the infographics show crime true crime evidence the zodiac cold case mystery serial unsolved mystery zodiac killer letters san francisco unsolved zodiac killer search</t>
  </si>
  <si>
    <t>coronavirus symptoms covid-19 symptoms covid-19 coronavirus virus pandemic global pandemic the infographics show symptoms of coronavirus news world news social distancing 2020 2020 coronavirus sick flu like symptoms flu viral infection bacteria stay home wash your hands</t>
  </si>
  <si>
    <t>education educational infographics show the infographics show animation animated cartoon cartoons politics power powerful families inheritance Rothschild rockefeller morgan family Bush family president bush DuPont Family Rothschild family Rockefeller family money rich the richest powerful family richest families most powerful billionaire billionares</t>
  </si>
  <si>
    <t>corona virus coronavirus pandemic covid 19 covid-19 quarantine how long will quarantine last how long will pandemic last locked in stay home the infographics show health safety news world news global global pandemic corona isolation self-isolation self isolation</t>
  </si>
  <si>
    <t>prison prison escape escape prison break jail crime criminal prisoners who escaped mail the infographics show</t>
  </si>
  <si>
    <t>pandemic how a pandemic ends WHO public health virus death toll infection disease transmission government pandemic strategy race through it delay and vaccinate coordinate and crush vaccines testing quarantine testing and tracing herd immunity coronavirus covid 19 science biology epidemiology social distancing education animation alex rosenthal visorama TED TED-Ed TED Ed Teded Ted Education</t>
  </si>
  <si>
    <t>coma martin pistorius vegetative state man in a coma for 12 years man in a coma for 12 years heard everything story real life life stories the infographics show inspiring hopeful news recovery hospital health illness author coma story coma survivor</t>
  </si>
  <si>
    <t>dark web the dark web craziest things sold on the dark web passports ID netflix deep web dark web stories what is dark web dark web mystery box the infographics show dark web facts how to access the dark web dark net dark web tutorial dark web package</t>
  </si>
  <si>
    <t>north korea north korea dating kim jong un date dating love life love life in north korea dating scene in north korea the infographics show insane romance romantic love dates relationship kim jong-un north korea facts inside north korea facts about north korea united states</t>
  </si>
  <si>
    <t>life immortal universe galaxy consciousness conscious end of the world planets space last man on earth story amazing crazy insane the infographics show the future future life expectancy what if you never died what if you lived forever forever death die science fiction animated science what if</t>
  </si>
  <si>
    <t>covid19 corona virus coronavirus outbreak coronavirus spread coronavirus explained novel corona virus coronavirus update coronavirus prevention coronavirus treatment coronavirus symptoms world health organization coronavirus spread in restaurant coronavirus spread in usa coronavirus usa dr. mike doctor mike mike varshavski doctor reacts covid-19 coronavirus 2nd wave second wave coronavirus 2nd wave of covid 19 in usa covid 19 news covid-19 updates</t>
  </si>
  <si>
    <t>reincarnation past lives stories true stories history the infographics show airforce pilot war airforce pilot life past life reincarnated people reincarnated past life regression regression reincarnation stories what is reincarnation proof of reincarnation</t>
  </si>
  <si>
    <t>UN United Nations</t>
  </si>
  <si>
    <t>Coronavirus Glenmark Pharma Glenmark Pharmaceuticals Corona Medicine Corona Vaccine Corona Coronavirus India Coronavirus Cases India Covid-19 Covid-19 Vaccine Covid-19 Medicine कोरोना वैक्सीन कोरोना वायरस Oneindia Hindi वनइंडिया हिंदी</t>
  </si>
  <si>
    <t>dexamethasone dexamethasone for covid dexamethasone for covid 19 dexamethasone covid 19 dexamethasone coronavirus dexamethasone corona dexamethasone covid steroids for covid19 coronavirus update coronavirus drug covid 19 treatment coronavirus treatment covid 19 drug coronavirus medicine breaking news coronavirus breaking news corona coronavirus pandemic covid-19 coronavirus coronavirus usa coronavirus outbreak coronavirus outbreak in usa covid-19 updates</t>
  </si>
  <si>
    <t>COVID-19 Vaccine Available Soon Breaking News world health organization world health organization coronavirus world health organization corona vaccine world health organization latest news world health organization latest updates world health organization to pakistan covid-19 news coronavirus vaccine update coronavirus vaccine update today news coronavirus vaccine update today news pakistan bol bol news bol news live pakistan latest news</t>
  </si>
  <si>
    <t>John Bolton Trump foreign affairs former national security adviser Martha Raddatz intelligence briefings White House North Korea Kim Jung Un The Room Where It Happened impeachment p_cmsid=2494279 p_vid=news-71375881 How to watch John Bolt full interview John Bolton interview ABC news transcript Martha Raddatz full episode ABC national security adviser white house 2020 election president book The Room Where It Happened</t>
  </si>
  <si>
    <t>UN United Nations UN Web TV meetings events pre-recorded video global issues Politics (TV Genre) Security (Quotation Subject)</t>
  </si>
  <si>
    <t>Covid vaccine updates covid vaccine update covid vaccines update coronavirus vaccine covid 19 vaccine covid 19 sars cov2 sars cov2 vacccine</t>
  </si>
  <si>
    <t>US Pulls Troops From Germany US Troops in Germany US Pulls Troops US Germany US Germany Relations Germany US Merkel Trump Nord Stream 2 Iran Richard Grenell Angela Merkel Nato Huawei Russia TRT TRT World TRT News</t>
  </si>
  <si>
    <t>Coronavirus Vaccine News UK Vaccine Oxford Vaccine Vaccine Coronavirus Coronavirus Vaccine Development Vaccine for Covid 19 Oxford University Vaccine Corona Vaccine Testings on Humans Coronavirus Vaccine Update TRT TRT World TRT News</t>
  </si>
  <si>
    <t>DW News coronavirus india coronavirus in india corona india corona in india india lockdown coronavirus news coronavirus update coronavirus corona virus virus outbreak corona coronavirus outbreak virus coronavirus europe coronavirus spread coronavirus pandemic coronavirus lockdown lockdown coronavirus deaths coronavirus death toll coronavirus cases confirmed cases corona deaths india news india health india health care</t>
  </si>
  <si>
    <t>Locusts Swarm in Asia Locust Swarm in India Coronavirus Covid-19 Plague Locust Farmer Climate Change Swarm Agriculture India Pakistan Iran Bangladesh Sri Lanka Australia Indian Ocean Global Warming TRT TRT World TRT News</t>
  </si>
  <si>
    <t>Bolsonaro Coronavirus in Brazil Jair Bolsonaro Brazil Coronavirus Coronavirus Brazil TRT TRT World TRT News</t>
  </si>
  <si>
    <t>Covid-19 dexamethasone human trials covid-19 vaccine Saudi Arabia UK Britain Beijing China</t>
  </si>
  <si>
    <t>Covid William Prince William Duke of Cambridge Royal News Oxford Royal visit duke of cambridge wedding prince william visits oxford university prince william vaccine trials prince william visits lab duke of cambridge oxford university university of oxford oxford university coronavirus vaccine covid-19 vaccine royal family university of oxford vaccine university of oxford vaccine covid 19 university of oxford vaccine test duke of cambridge interview</t>
  </si>
  <si>
    <t>Highest Coronavirus Cases Highest Coronavirus Coronavirus Latest Coronavirus World US Coronavirus Coronavirus Update Coronavirus News Coronavirus Cases Brazil Coronavirus World Health Organisation TRT TRT World TRT News</t>
  </si>
  <si>
    <t>NTD NTDTV NTD News US news traditional media Trump conservative tv Hong Kong news China news President Donald Trump Hong Kong Police Hong Kong Protests China Falun Gong Tang Dynasty Chinese culture Organ harvesting united state trade vaccine vaccine for covid 19 made in china pharmaceutical</t>
  </si>
  <si>
    <t>Covid-19 India Oxford vaccine herd immunity Pakistan plane crash Academic calendar CBSE UGC</t>
  </si>
  <si>
    <t>HighWireRadio</t>
  </si>
  <si>
    <t>CNN News CNN TV CNN Newsroom The Lead with Jake Tapper</t>
  </si>
  <si>
    <t>liziqi liziqi vlogger 中國美食 中華傳統文化 Chinese food 饮食文化 中国风 田园 美食 ly tu that 李子柒 lý tử thất</t>
  </si>
  <si>
    <t>celebrity interviews celebrity gossip tv news holly willoughby real stories phillip schofield this morning ruth langsford eamonn holmes breakfast tv chat show talk show Melinda Messenger dr chris dr zoe cancer vaccine side effects debate</t>
  </si>
  <si>
    <t>dr sam bailey social distancing coronavirus covid-19 evidence for social distancing evidence for wearing masks and gloves quarantine community spread covid19 health risks isolation social isolation suspicion social distancing kids truth about social distancing physical distancing social distancing is a lie is social distancing the right thing #socialdistancing</t>
  </si>
  <si>
    <t>stand high patrol midnight walkers pupa jim rootystep mac gyver records pupajim dub reggae digital dubstep walker Bass the big tree three</t>
  </si>
  <si>
    <t>del bigtree The HighWire</t>
  </si>
  <si>
    <t>jubilee jubilee media jubilee project live for something greater blind devotion love language middle ground middle ground jubilee vaccine safety vaccination video should you vaccinate pro vaccine anti vaccine vaccine vaccination vaccines autism anti-vaccine vaccinate forced vaccination vaccinations vaccines cause autism vaccine injury vaccine side effect vaccine risks vaccination debate vaccines and autism the truth about vaccines</t>
  </si>
  <si>
    <t>bbc bbc news news coronavirus virus vaccine trial Imperial College tiny dose dose UK London Covid scientists researchers Oxford University test volunteers immunise review prepared outbreak second wave Royal College Physicians Surgeons GPs Nurses BMJ British Medical Journal New York New Jersey US United States Connecticut quarantine visitors infection Huw Edwards Fergus Walsh Medical correspondent David Shukman Science Editor Jon Sopel North America</t>
  </si>
  <si>
    <t>Tucker Carlson Tucker Carlson Tonight Medical Research Tv Entertainment Health On Air Personality Primary Health Fox News News</t>
  </si>
  <si>
    <t>Larry King Larry King Now Ora Ora tv entertainment rob schneider rob schneider vaccines anti-vaxxer anti-vaccine anti-vaccination debate vaccines and autism big pharma rob schneider politics vaccine debate american health care system</t>
  </si>
  <si>
    <t>unstoppable family unstoppable familu unstoppable family traveling family digital nomad family</t>
  </si>
  <si>
    <t>Viable Tv ViableTv APC Senate Senator Nigerian Senate Nigerian politics INEC Buhari Nigerian government Nigerian elections EXPOSED!!! Bill Gates Offered $10 Million Bribe For Forced Vaccina</t>
  </si>
  <si>
    <t>4712763287001 package Al Jazeera English gates News Lesotho al Jazeera Bill Gates jazeera unblocked youtube Africa laurence lee aljazeera</t>
  </si>
  <si>
    <t>Gino Jennings Pastor Gino Jennings White Jesus church td jakes</t>
  </si>
  <si>
    <t>Voicetv Nigeria Voicetv Nigeria news reports Nigerian News Nigerian Politics Buhari Nigeria Army PDP APC 2019 Election voice for the voiceless National Assembly Nigeria Police Nigeria Senate Nigeria House Of Reps Blacks white USA Canada Europe Expose</t>
  </si>
  <si>
    <t>China in Focus china in focus documentary documentaries china news coronavirus outbreak coronavirus news ntd news wuhan virus wuhan coronavirus wuhan China in Focus NTD ntd ntdtv 武漢肺炎 中國 肺炎 新冠肺炎 china coronavirus China in focus ntd epoch times Trump sanction China China India President Donald Trump documentary lucci flood earthquake fish animal behavior animal China india border corona virus news china virus 武汉肺炎 中国 Beijing beijing second wave</t>
  </si>
  <si>
    <t>Channels Television Channels TV Africa News Top African News Breaking news Nigerian Top Stories COVID-19 Pandemic NASS News Reports</t>
  </si>
  <si>
    <t>Voicetv Nigeria Voicetv Nigeria news reports Nigerian News Nigerian Politics Buhari Nigeria Army PDP APC 2019 Election voice for the voiceless National Assembly Nigeria Police Nigeria Senate Nigeria House Of Reps Big Shocker Vaccine Bill Bill sb8163 US DR SCOTT AMERICA</t>
  </si>
  <si>
    <t>60 Minutes 60 Minutes Australia Liz Hayes Charles Wooley Tara Brown Liam Bartlett Allison Langdon Tom Steinfort Peter Overton Karl Stefanovic Sarah Abo julian assange assange wikileaks founder wikileaks ecuadorian embassy stella moris fiance julian assange julian assange kids top secrets secrets from inside the embassy secret family secret fiance wikileaks election stephen hoo free assange plots in embassy 60 minutes world exclusive</t>
  </si>
  <si>
    <t>Viable Tv ViableTv APC Senate Senator Nigerian Senate Nigerian politics INEC Buhari Nigerian government Nigerian elections Alleged $10b Bill Gates Bribe : Police Arrests CUPP Spokesman Ugochinyere Ikenga Imo Ugochinyere Coalition of United Political Parties CUPP Femi Gbajabiamila. House of Representatives and the Speaker</t>
  </si>
  <si>
    <t>antifa antifa fox news fox news antifa antifa tactics Fox news antifa tactics antifa violence andy ngo andy ngo antifa andy ngo antifa attack andy ngo portland seattle seattle CHAZ seattle autonomous zone capitol hill autonomous zone fnc fox news fox news channel fox news media fox news network george floyd antifa portland antifa seattle seattle washington autonomous</t>
  </si>
  <si>
    <t>Muammar Gaddafi Libya (Country) George Negus (TV Personality) Journeyman Pictures interview report documentary Colonel Gaddafi Libya revolution معمر القذافي ليبيا (البلد)</t>
  </si>
  <si>
    <t>fake pastor false prophet confession</t>
  </si>
  <si>
    <t>Viable Tv ViableTv APC Senate Senator Nigerian Senate Nigerian politics INEC Buhari Nigerian government Nigerian elections Leo Mohamed Amazing Truth!!!! Every Black Person Needs to See This</t>
  </si>
  <si>
    <t>Netflix Patriot Act Hasan Minhaj Netflix Series Streaming Television Television Online Comedy Featured Comedian Hasan Minhaj Comedy Hasan Minhaj Stand up Global News Politics Late Night Comedy Late Night Talk Indian American jokes talk show latest episode Coronavirus COVID 19 Donald Trump Marijuana Pot Weed Cannabis Reefer Marijuana Legalization Legal Weed Smoke Weed Snoop Dogg Laws Legal Marijuana Drugs Drug Use Racism Minority Owned Hash Bongs</t>
  </si>
  <si>
    <t>Broadly Women girls feminism girl gang witches witches of bushwick female documentary documentaries interview interviews culture wild lifestyle world exclusive independent underground videos funny funny videos journalism vice guide vice presents vice news vbs.tv vice.com vice vice magazine vice mag vice videos Samburu no men Africa Northern Kenya matriarchal villages patriarchy</t>
  </si>
  <si>
    <t>Ari Melber The Beat with Ari Melber MSNBC NBC News breaking news us news world news politics current events top stories pop culture health liberal progressive ari melber msnbc msnbc live ari melber live news President Trump Trump administration Geoff Berman Prosecutor donald trump trump rally donald trump mac miller donald trump speech trump rally live today U.S. Attorney federal prosecutor federal prosecutor in court federal prosecutor minnesota</t>
  </si>
  <si>
    <t>Real Stories Real Stories Full Documentary Real Stories Documentary Full length Documentaries Documentary TV Shows - Topic Documentary Movies - Topic full documentary full episode blood donation blood donation process red cross blood donation benefits blood donation procedure big business conspiracy documentary real facts corporations documentary movies - topic crime documentary big pharma</t>
  </si>
  <si>
    <t>Channels Television Channels TV Africa News Top African News Breaking news Nigerian Top Stories COVID-19 Pandemic</t>
  </si>
  <si>
    <t>60 Minutes CBS News killing of george floyd minneapolis police department 60 minutes pharma Tulia Texas</t>
  </si>
  <si>
    <t>rgv bike motovlogger female motovlogger ridergirl ridergirl vishakha girl who rides a bike girl who motovlogs travel on bike travel on two wheels motovlogs lifestyle vlogs corona vaccination covid 19 vaccination? covid 19 corona coronil</t>
  </si>
  <si>
    <t>rgv bike motovlogger female motovlogger ridergirl ridergirl vishakha ktm duke 390 bmw gs girl who rides a bike girl who motovlogs travel on bike travel on two wheels motovlogs lifestyle vlogs travel vlogs Indies first femalemotovlogger</t>
  </si>
  <si>
    <t>rgv motovlogger female motovlogger ridergirl ridergirl vishakha girl who motovlogs motovlogs lifestyle vlogs travel vlogs KAWASAKI kawasaki ninja z650 z650 world motorcycle day</t>
  </si>
  <si>
    <t>motovlogger female motovlogger ridergirl ridergirl vishakha girl who rides a bike girl who motovlogs travel on bike lifestyle vlogs menstruation periods periods problem girl having her cycles girl in periods periods pain</t>
  </si>
  <si>
    <t>mumbiker nikhil shanice shrestha delhi mumbai comedy bicycles trek bicycles shanice shrestha riding bike pillion rider mamaearth mamaearth vitamin c range goodbye to my workspace india youtube youtube india trending female vlogger</t>
  </si>
  <si>
    <t>rgv bike motovlogger female motovlogger ridergirl ridergirl vishakha ktm duke 390 bmw gs girl who rides a bike girl who motovlogs travel on bike travel on two wheels motovlogs lifestyle vlogs travel vlogs Indies first femalemotovlogger lockdown quarantine lockdown2020 quarantine2020 lockdown life social distancing lockdown doctor mumbai red zone red zone</t>
  </si>
  <si>
    <t>ktm duke 390 ktm india ktm india mumbai motovlogger female motovlogger delivery of new bike new bike kashish ridergirl vishakha ridergirl</t>
  </si>
  <si>
    <t>rgv bike motovlogger female motovlogger ridergirl ridergirl vishakha travel on bike lifestyle vlogs photoshoot for instagram Instagram photoshoot lockdown photoshoot quarantine photoshoot creative instagram photoshoot Instagram feed concept shoot</t>
  </si>
  <si>
    <t>kurla chor bazaar kurla chor bazaar in lockdown kurla market chor bazaar kurla bike parts mumbai chor bazaar koka vlogs koka vlogs helping koka vlogs helping poor people kokavlogs kurla chor bazaar mumbai kurla chor bazaar bike kurla chor market kurla cst bike market kurla chor bazar chor bazaar in lockdown</t>
  </si>
  <si>
    <t>KAWASAKI NINJA 1000 HONDA SUZUKI MRF MICHELLIN HYUNDAI MR SPEED THE MOTORCYCLISTS BHUBANESWAR RST RYNOX ALPINE SATRS AGV GO PRO TRIUMPH HARLEY DAVIDSON Z800 SC PROJECT EXHAUST YAMAHA DUCATI MOTO VLOG VLOGGING TYRE SUPERBIKE FLYBY TAKING DELIVERY CAR BIKE MARUTI BAJAJ HERO MOTUL SERVICE TRAVEL LIVING MUMBIKER NIKHIL SUPER-BIKE LEH LADAKH</t>
  </si>
  <si>
    <t>dominar dominar400 Bajaj Bajajdominar film indiatoaustralia wander biker bikergirl womenride movie documentary travel trending moto motorcycle bikes bikerfriends overlanders overlan</t>
  </si>
  <si>
    <t>rgv bike motovlogger female motovlogger ridergirl ridergirl vishakha ktm duke 390 bmw gs girl who rides a bike girl who motovlogs travel on bike travel on two wheels motovlogs lifestyle vlogs travel vlogs Indies first femalemotovlogger NARMADA PARIKRAMA NARMADA PARIKRAMA ON BIKE</t>
  </si>
  <si>
    <t>haircut layer cut v cut u cut own hair cut hair cut at home hair cut in 2min long layer cut haircut for short hairs haircut for medium hairs haircut for long hair haircut for thin hairs haircut for thick n curly hairs haircut for teen age girls haircut for womens haircut for college girls haircut ideas latest haircuts comedy funny musical.ly funny haircuts funniest haircuts funniest hairstyles funny hairstyles funny haircut for girls lockdownhaircut</t>
  </si>
  <si>
    <t>Tony Robbins</t>
  </si>
  <si>
    <t>World Health Organization (WHO)</t>
  </si>
  <si>
    <t>Jerry Romine Entrepreneur Abroad</t>
  </si>
  <si>
    <t>Gavi, the Vaccine Alliance</t>
  </si>
  <si>
    <t>CGTN</t>
  </si>
  <si>
    <t>Republic World</t>
  </si>
  <si>
    <t>WION</t>
  </si>
  <si>
    <t>Nestlé Health Science</t>
  </si>
  <si>
    <t>Click On Detroit | Local 4 | WDIV</t>
  </si>
  <si>
    <t>Viable Tv</t>
  </si>
  <si>
    <t>Asian Boss</t>
  </si>
  <si>
    <t>MedCram - Medical Lectures Explained CLEARLY</t>
  </si>
  <si>
    <t>Prime Minister's Office, Singapore</t>
  </si>
  <si>
    <t>CBS Evening News</t>
  </si>
  <si>
    <t>Real Science</t>
  </si>
  <si>
    <t>ABC News</t>
  </si>
  <si>
    <t>Doctor Mike Hansen</t>
  </si>
  <si>
    <t>FOX 13 News Utah</t>
  </si>
  <si>
    <t>CBS 17</t>
  </si>
  <si>
    <t>Kurzgesagt – In a Nutshell</t>
  </si>
  <si>
    <t>FreeMedEducation</t>
  </si>
  <si>
    <t>Sky News</t>
  </si>
  <si>
    <t>NBC News</t>
  </si>
  <si>
    <t>Vox</t>
  </si>
  <si>
    <t>DW News</t>
  </si>
  <si>
    <t>This Morning</t>
  </si>
  <si>
    <t>Colorado State University</t>
  </si>
  <si>
    <t>Healthcare Triage</t>
  </si>
  <si>
    <t>Bloomberg Markets and Finance</t>
  </si>
  <si>
    <t>CNA Insider</t>
  </si>
  <si>
    <t>The Straits Times</t>
  </si>
  <si>
    <t>Tean Lim</t>
  </si>
  <si>
    <t>CNA</t>
  </si>
  <si>
    <t>NTUsg</t>
  </si>
  <si>
    <t>INSEAD</t>
  </si>
  <si>
    <t>Bloomberg Live</t>
  </si>
  <si>
    <t>The Economist</t>
  </si>
  <si>
    <t>DW Documentary</t>
  </si>
  <si>
    <t>CBS Boston</t>
  </si>
  <si>
    <t>Brew</t>
  </si>
  <si>
    <t>ABC News In-depth</t>
  </si>
  <si>
    <t>60 Minutes Australia</t>
  </si>
  <si>
    <t>Los Angeles Times</t>
  </si>
  <si>
    <t>Wall Street Journal</t>
  </si>
  <si>
    <t>FRONTLINE PBS | Official</t>
  </si>
  <si>
    <t>JAMA Network</t>
  </si>
  <si>
    <t>Dr. John Campbell</t>
  </si>
  <si>
    <t>The Hindu BusinessLine</t>
  </si>
  <si>
    <t>WIRED</t>
  </si>
  <si>
    <t>Yahoo Finance</t>
  </si>
  <si>
    <t>MSNBC</t>
  </si>
  <si>
    <t>Christy Risinger, MD</t>
  </si>
  <si>
    <t>WIRED UK</t>
  </si>
  <si>
    <t>CNBC Television</t>
  </si>
  <si>
    <t>The Daily Show with Trevor Noah</t>
  </si>
  <si>
    <t>CNN</t>
  </si>
  <si>
    <t>Late Night with Seth Meyers</t>
  </si>
  <si>
    <t>Guardian News</t>
  </si>
  <si>
    <t>News4JAX</t>
  </si>
  <si>
    <t>ABC News (Australia)</t>
  </si>
  <si>
    <t>Channel 4 News</t>
  </si>
  <si>
    <t>Ahmed Aero</t>
  </si>
  <si>
    <t>ARIRANG NEWS</t>
  </si>
  <si>
    <t>CBS News</t>
  </si>
  <si>
    <t>Good Morning Britain</t>
  </si>
  <si>
    <t>BBC Travel Show</t>
  </si>
  <si>
    <t>PBS NewsHour</t>
  </si>
  <si>
    <t>Global News</t>
  </si>
  <si>
    <t>University of Oxford</t>
  </si>
  <si>
    <t>The Infographics Show</t>
  </si>
  <si>
    <t>South China Morning Post</t>
  </si>
  <si>
    <t>Curly Tales</t>
  </si>
  <si>
    <t>TRT World</t>
  </si>
  <si>
    <t>BBC News</t>
  </si>
  <si>
    <t>ABC 7 Chicago</t>
  </si>
  <si>
    <t>The Late Show with Stephen Colbert</t>
  </si>
  <si>
    <t>Team Coco</t>
  </si>
  <si>
    <t>Inside Edition</t>
  </si>
  <si>
    <t>Jimmy Kimmel Live</t>
  </si>
  <si>
    <t>THNKR</t>
  </si>
  <si>
    <t>Fox News</t>
  </si>
  <si>
    <t>TED-Ed</t>
  </si>
  <si>
    <t>Doctor Mike</t>
  </si>
  <si>
    <t>United Nations</t>
  </si>
  <si>
    <t>Oneindia Hindi | वनइंडिया हिन्दी</t>
  </si>
  <si>
    <t>BOL News</t>
  </si>
  <si>
    <t>Hartford HealthCare</t>
  </si>
  <si>
    <t>Diseases Simplified</t>
  </si>
  <si>
    <t>Hindustan Times</t>
  </si>
  <si>
    <t>The Royal Family Channel</t>
  </si>
  <si>
    <t>NTD</t>
  </si>
  <si>
    <t>The HighWire with Del Bigtree</t>
  </si>
  <si>
    <t>Rappler</t>
  </si>
  <si>
    <t>李子柒 Liziqi</t>
  </si>
  <si>
    <t>MrBeast</t>
  </si>
  <si>
    <t>Dr. Sam Bailey</t>
  </si>
  <si>
    <t>STAND HIGH PATROL</t>
  </si>
  <si>
    <t>Jubilee</t>
  </si>
  <si>
    <t>gifterphotos</t>
  </si>
  <si>
    <t>Larry King</t>
  </si>
  <si>
    <t>Unstoppable Family</t>
  </si>
  <si>
    <t>ZachBushMD</t>
  </si>
  <si>
    <t>Al Jazeera English</t>
  </si>
  <si>
    <t>Marvin Mulenga</t>
  </si>
  <si>
    <t>Voicetv Nigeria</t>
  </si>
  <si>
    <t>China in Focus - NTD</t>
  </si>
  <si>
    <t>Channels Television</t>
  </si>
  <si>
    <t>Journeyman Pictures</t>
  </si>
  <si>
    <t>CENTTWINZ TV</t>
  </si>
  <si>
    <t>Patriot Act</t>
  </si>
  <si>
    <t>VICE Life</t>
  </si>
  <si>
    <t>Real Stories</t>
  </si>
  <si>
    <t>Obianuju Ekeocha</t>
  </si>
  <si>
    <t>60 Minutes</t>
  </si>
  <si>
    <t>RiderGirl Vishakha</t>
  </si>
  <si>
    <t>Shanice Shrestha Vlogs</t>
  </si>
  <si>
    <t>KOKA Vlogs</t>
  </si>
  <si>
    <t>TFIglobal</t>
  </si>
  <si>
    <t>Mr speed</t>
  </si>
  <si>
    <t>Candida Louis</t>
  </si>
  <si>
    <t>2020-06-02T01:24:03Z</t>
  </si>
  <si>
    <t>2020-06-10T16:38:48Z</t>
  </si>
  <si>
    <t>2020-06-03T14:04:57Z</t>
  </si>
  <si>
    <t>2020-06-17T11:51:24Z</t>
  </si>
  <si>
    <t>2020-06-05T16:27:28Z</t>
  </si>
  <si>
    <t>2020-03-11T08:22:01Z</t>
  </si>
  <si>
    <t>2020-03-13T15:02:41Z</t>
  </si>
  <si>
    <t>2020-06-04T15:00:43Z</t>
  </si>
  <si>
    <t>2015-03-06T14:34:18Z</t>
  </si>
  <si>
    <t>2020-06-04T14:47:54Z</t>
  </si>
  <si>
    <t>2020-06-04T14:10:09Z</t>
  </si>
  <si>
    <t>2020-06-04T15:37:21Z</t>
  </si>
  <si>
    <t>2015-05-07T09:33:34Z</t>
  </si>
  <si>
    <t>2020-06-04T21:36:51Z</t>
  </si>
  <si>
    <t>2020-06-02T06:27:01Z</t>
  </si>
  <si>
    <t>2020-06-06T01:30:02Z</t>
  </si>
  <si>
    <t>2020-06-04T17:34:30Z</t>
  </si>
  <si>
    <t>2020-06-05T02:00:02Z</t>
  </si>
  <si>
    <t>2020-06-07T22:46:23Z</t>
  </si>
  <si>
    <t>2020-04-18T13:00:28Z</t>
  </si>
  <si>
    <t>2020-06-03T12:28:19Z</t>
  </si>
  <si>
    <t>2020-06-25T14:00:31Z</t>
  </si>
  <si>
    <t>2020-05-06T16:15:00Z</t>
  </si>
  <si>
    <t>2020-06-05T00:40:03Z</t>
  </si>
  <si>
    <t>2020-06-08T16:47:33Z</t>
  </si>
  <si>
    <t>2020-03-19T15:37:18Z</t>
  </si>
  <si>
    <t>2020-04-25T15:00:13Z</t>
  </si>
  <si>
    <t>2020-05-29T20:07:56Z</t>
  </si>
  <si>
    <t>2020-06-04T14:38:49Z</t>
  </si>
  <si>
    <t>2020-06-26T04:41:52Z</t>
  </si>
  <si>
    <t>2020-03-18T12:00:00Z</t>
  </si>
  <si>
    <t>2020-05-01T17:46:19Z</t>
  </si>
  <si>
    <t>2020-05-19T10:59:09Z</t>
  </si>
  <si>
    <t>2020-06-25T14:00:01Z</t>
  </si>
  <si>
    <t>2020-06-04T21:30:32Z</t>
  </si>
  <si>
    <t>2020-06-01T19:18:46Z</t>
  </si>
  <si>
    <t>2020-06-04T12:29:40Z</t>
  </si>
  <si>
    <t>2020-04-13T14:00:08Z</t>
  </si>
  <si>
    <t>2020-06-05T15:11:58Z</t>
  </si>
  <si>
    <t>2020-04-30T11:30:29Z</t>
  </si>
  <si>
    <t>2020-06-07T11:56:44Z</t>
  </si>
  <si>
    <t>2017-10-23T21:34:42Z</t>
  </si>
  <si>
    <t>2020-05-29T23:59:43Z</t>
  </si>
  <si>
    <t>2017-09-14T11:27:02Z</t>
  </si>
  <si>
    <t>2020-04-10T10:37:36Z</t>
  </si>
  <si>
    <t>2020-06-05T17:46:48Z</t>
  </si>
  <si>
    <t>2020-01-22T14:24:58Z</t>
  </si>
  <si>
    <t>2020-06-05T12:37:53Z</t>
  </si>
  <si>
    <t>2020-06-07T13:30:36Z</t>
  </si>
  <si>
    <t>2019-09-24T00:48:20Z</t>
  </si>
  <si>
    <t>2019-10-16T13:55:41Z</t>
  </si>
  <si>
    <t>2020-04-10T14:13:11Z</t>
  </si>
  <si>
    <t>2015-03-26T04:59:35Z</t>
  </si>
  <si>
    <t>2020-06-07T11:30:40Z</t>
  </si>
  <si>
    <t>2012-08-23T08:35:17Z</t>
  </si>
  <si>
    <t>2015-01-18T11:16:57Z</t>
  </si>
  <si>
    <t>2018-11-19T22:17:16Z</t>
  </si>
  <si>
    <t>2020-06-25T10:00:30Z</t>
  </si>
  <si>
    <t>2020-06-03T15:48:44Z</t>
  </si>
  <si>
    <t>2020-06-05T18:39:13Z</t>
  </si>
  <si>
    <t>2020-05-22T16:30:12Z</t>
  </si>
  <si>
    <t>2020-03-05T19:00:05Z</t>
  </si>
  <si>
    <t>2020-06-09T16:45:01Z</t>
  </si>
  <si>
    <t>2020-06-08T16:39:19Z</t>
  </si>
  <si>
    <t>2020-06-02T15:38:58Z</t>
  </si>
  <si>
    <t>2020-06-01T17:00:13Z</t>
  </si>
  <si>
    <t>2019-01-21T13:21:24Z</t>
  </si>
  <si>
    <t>2020-06-11T17:17:12Z</t>
  </si>
  <si>
    <t>2020-04-18T19:14:06Z</t>
  </si>
  <si>
    <t>2020-06-08T11:15:01Z</t>
  </si>
  <si>
    <t>2020-04-27T11:24:51Z</t>
  </si>
  <si>
    <t>2020-06-17T09:00:20Z</t>
  </si>
  <si>
    <t>2020-06-10T21:30:04Z</t>
  </si>
  <si>
    <t>2020-06-06T18:00:20Z</t>
  </si>
  <si>
    <t>2020-04-13T13:30:42Z</t>
  </si>
  <si>
    <t>2020-06-03T16:51:04Z</t>
  </si>
  <si>
    <t>2020-04-20T11:15:00Z</t>
  </si>
  <si>
    <t>2020-05-27T12:00:33Z</t>
  </si>
  <si>
    <t>2020-06-19T03:00:12Z</t>
  </si>
  <si>
    <t>2020-06-10T09:00:03Z</t>
  </si>
  <si>
    <t>2020-06-01T18:43:38Z</t>
  </si>
  <si>
    <t>2020-05-24T10:32:28Z</t>
  </si>
  <si>
    <t>2020-06-08T12:49:08Z</t>
  </si>
  <si>
    <t>2020-06-12T15:33:33Z</t>
  </si>
  <si>
    <t>2020-06-01T09:00:00Z</t>
  </si>
  <si>
    <t>2020-05-25T11:15:00Z</t>
  </si>
  <si>
    <t>2020-05-19T19:00:01Z</t>
  </si>
  <si>
    <t>2020-05-17T12:00:14Z</t>
  </si>
  <si>
    <t>2020-06-09T17:51:34Z</t>
  </si>
  <si>
    <t>2020-06-25T11:29:53Z</t>
  </si>
  <si>
    <t>2020-06-08T17:37:43Z</t>
  </si>
  <si>
    <t>2020-06-25T22:21:13Z</t>
  </si>
  <si>
    <t>2020-06-12T20:00:07Z</t>
  </si>
  <si>
    <t>2020-06-10T16:00:03Z</t>
  </si>
  <si>
    <t>2020-04-23T19:41:37Z</t>
  </si>
  <si>
    <t>2020-06-10T16:00:36Z</t>
  </si>
  <si>
    <t>2020-06-08T19:13:18Z</t>
  </si>
  <si>
    <t>2020-06-08T23:58:28Z</t>
  </si>
  <si>
    <t>2020-06-26T02:35:15Z</t>
  </si>
  <si>
    <t>2020-06-05T17:02:17Z</t>
  </si>
  <si>
    <t>2020-06-10T14:30:02Z</t>
  </si>
  <si>
    <t>2020-06-25T17:40:33Z</t>
  </si>
  <si>
    <t>2020-06-09T00:02:06Z</t>
  </si>
  <si>
    <t>2020-06-12T13:29:50Z</t>
  </si>
  <si>
    <t>2020-06-26T01:00:00Z</t>
  </si>
  <si>
    <t>2020-06-26T03:32:59Z</t>
  </si>
  <si>
    <t>2020-06-13T00:27:41Z</t>
  </si>
  <si>
    <t>2020-06-10T14:36:27Z</t>
  </si>
  <si>
    <t>2020-06-10T12:13:57Z</t>
  </si>
  <si>
    <t>2020-06-10T04:10:25Z</t>
  </si>
  <si>
    <t>2020-05-28T16:53:55Z</t>
  </si>
  <si>
    <t>2020-06-03T02:54:29Z</t>
  </si>
  <si>
    <t>2020-06-11T12:30:17Z</t>
  </si>
  <si>
    <t>2020-06-11T23:49:55Z</t>
  </si>
  <si>
    <t>2020-06-16T08:29:13Z</t>
  </si>
  <si>
    <t>2020-06-10T17:54:30Z</t>
  </si>
  <si>
    <t>2020-06-17T12:00:06Z</t>
  </si>
  <si>
    <t>2020-05-22T17:38:04Z</t>
  </si>
  <si>
    <t>2020-06-17T15:59:29Z</t>
  </si>
  <si>
    <t>2020-06-18T16:34:41Z</t>
  </si>
  <si>
    <t>2020-06-11T20:24:56Z</t>
  </si>
  <si>
    <t>2020-06-11T13:36:22Z</t>
  </si>
  <si>
    <t>2020-06-10T19:34:14Z</t>
  </si>
  <si>
    <t>2020-06-22T12:28:49Z</t>
  </si>
  <si>
    <t>2019-01-29T12:56:57Z</t>
  </si>
  <si>
    <t>2020-06-24T18:32:50Z</t>
  </si>
  <si>
    <t>2020-05-23T09:30:05Z</t>
  </si>
  <si>
    <t>2017-09-05T12:34:54Z</t>
  </si>
  <si>
    <t>2019-11-02T09:49:18Z</t>
  </si>
  <si>
    <t>2020-06-16T00:23:23Z</t>
  </si>
  <si>
    <t>2020-04-23T02:19:07Z</t>
  </si>
  <si>
    <t>2020-04-21T21:46:59Z</t>
  </si>
  <si>
    <t>2020-03-19T00:26:01Z</t>
  </si>
  <si>
    <t>2020-05-04T00:00:01Z</t>
  </si>
  <si>
    <t>2020-05-15T00:03:16Z</t>
  </si>
  <si>
    <t>2020-06-14T00:03:00Z</t>
  </si>
  <si>
    <t>2020-06-14T00:06:49Z</t>
  </si>
  <si>
    <t>2020-06-25T01:59:46Z</t>
  </si>
  <si>
    <t>2020-06-12T14:39:45Z</t>
  </si>
  <si>
    <t>2020-06-19T12:18:12Z</t>
  </si>
  <si>
    <t>2020-06-25T23:47:38Z</t>
  </si>
  <si>
    <t>2020-06-13T16:25:43Z</t>
  </si>
  <si>
    <t>2020-06-25T23:47:45Z</t>
  </si>
  <si>
    <t>2020-06-26T02:10:11Z</t>
  </si>
  <si>
    <t>2020-06-12T12:59:46Z</t>
  </si>
  <si>
    <t>2020-05-28T12:00:21Z</t>
  </si>
  <si>
    <t>2020-06-17T13:26:29Z</t>
  </si>
  <si>
    <t>2020-06-18T19:10:01Z</t>
  </si>
  <si>
    <t>2020-06-13T01:59:47Z</t>
  </si>
  <si>
    <t>2020-06-22T09:06:42Z</t>
  </si>
  <si>
    <t>2020-05-01T11:30:00Z</t>
  </si>
  <si>
    <t>2020-06-16T14:00:38Z</t>
  </si>
  <si>
    <t>2020-06-22T14:00:30Z</t>
  </si>
  <si>
    <t>2020-06-15T12:44:11Z</t>
  </si>
  <si>
    <t>2020-06-19T08:40:12Z</t>
  </si>
  <si>
    <t>2020-06-15T10:49:54Z</t>
  </si>
  <si>
    <t>2019-09-21T09:00:08Z</t>
  </si>
  <si>
    <t>2020-06-16T11:45:33Z</t>
  </si>
  <si>
    <t>2020-06-17T11:14:28Z</t>
  </si>
  <si>
    <t>2020-04-23T21:38:37Z</t>
  </si>
  <si>
    <t>2019-10-14T13:40:24Z</t>
  </si>
  <si>
    <t>2020-06-22T13:15:03Z</t>
  </si>
  <si>
    <t>2020-06-16T23:00:01Z</t>
  </si>
  <si>
    <t>2020-06-16T17:18:08Z</t>
  </si>
  <si>
    <t>2020-03-31T00:27:06Z</t>
  </si>
  <si>
    <t>2020-06-16T03:50:01Z</t>
  </si>
  <si>
    <t>2016-11-30T19:06:48Z</t>
  </si>
  <si>
    <t>2020-06-16T12:37:15Z</t>
  </si>
  <si>
    <t>2020-06-20T00:45:19Z</t>
  </si>
  <si>
    <t>2020-06-16T02:22:05Z</t>
  </si>
  <si>
    <t>2020-06-08T01:31:34Z</t>
  </si>
  <si>
    <t>2020-06-17T00:25:06Z</t>
  </si>
  <si>
    <t>2020-06-17T01:49:41Z</t>
  </si>
  <si>
    <t>2020-06-16T12:25:51Z</t>
  </si>
  <si>
    <t>2018-11-08T12:26:46Z</t>
  </si>
  <si>
    <t>2020-06-16T02:45:22Z</t>
  </si>
  <si>
    <t>2012-08-31T00:12:19Z</t>
  </si>
  <si>
    <t>2020-06-17T20:52:53Z</t>
  </si>
  <si>
    <t>2019-07-15T17:26:39Z</t>
  </si>
  <si>
    <t>2020-06-12T19:30:10Z</t>
  </si>
  <si>
    <t>2020-06-15T15:01:06Z</t>
  </si>
  <si>
    <t>2020-02-19T15:10:00Z</t>
  </si>
  <si>
    <t>2019-08-21T03:15:00Z</t>
  </si>
  <si>
    <t>2019-08-31T20:15:00Z</t>
  </si>
  <si>
    <t>2020-04-11T01:15:01Z</t>
  </si>
  <si>
    <t>2018-10-23T17:00:01Z</t>
  </si>
  <si>
    <t>2020-06-13T13:10:00Z</t>
  </si>
  <si>
    <t>2020-06-08T15:23:35Z</t>
  </si>
  <si>
    <t>2020-06-18T01:10:01Z</t>
  </si>
  <si>
    <t>2020-06-19T01:10:00Z</t>
  </si>
  <si>
    <t>2020-04-02T22:10:01Z</t>
  </si>
  <si>
    <t>2019-03-01T22:00:00Z</t>
  </si>
  <si>
    <t>2020-04-06T17:11:31Z</t>
  </si>
  <si>
    <t>2020-06-14T13:10:00Z</t>
  </si>
  <si>
    <t>2020-06-01T15:00:20Z</t>
  </si>
  <si>
    <t>2020-05-18T19:10:00Z</t>
  </si>
  <si>
    <t>2020-06-07T14:15:01Z</t>
  </si>
  <si>
    <t>2020-06-12T20:10:00Z</t>
  </si>
  <si>
    <t>2020-06-17T01:10:00Z</t>
  </si>
  <si>
    <t>2020-06-17T20:56:40Z</t>
  </si>
  <si>
    <t>2020-06-15T19:10:00Z</t>
  </si>
  <si>
    <t>2020-06-18T22:08:22Z</t>
  </si>
  <si>
    <t>2020-06-21T09:10:09Z</t>
  </si>
  <si>
    <t>2020-06-17T14:45:01Z</t>
  </si>
  <si>
    <t>2020-06-19T15:15:03Z</t>
  </si>
  <si>
    <t>2020-06-22T00:26:27Z</t>
  </si>
  <si>
    <t>2020-06-22T05:29:17Z</t>
  </si>
  <si>
    <t>2020-05-22T11:16:17Z</t>
  </si>
  <si>
    <t>2020-06-22T16:02:57Z</t>
  </si>
  <si>
    <t>2020-06-19T19:21:22Z</t>
  </si>
  <si>
    <t>2020-04-18T07:16:28Z</t>
  </si>
  <si>
    <t>2020-06-21T14:30:00Z</t>
  </si>
  <si>
    <t>2020-06-19T20:12:53Z</t>
  </si>
  <si>
    <t>2020-06-19T10:59:23Z</t>
  </si>
  <si>
    <t>2020-06-17T04:32:59Z</t>
  </si>
  <si>
    <t>2020-06-24T21:15:34Z</t>
  </si>
  <si>
    <t>2020-06-22T15:18:00Z</t>
  </si>
  <si>
    <t>2020-06-20T19:54:03Z</t>
  </si>
  <si>
    <t>2020-06-25T03:56:36Z</t>
  </si>
  <si>
    <t>2020-06-21T15:27:42Z</t>
  </si>
  <si>
    <t>2020-06-26T05:39:34Z</t>
  </si>
  <si>
    <t>2020-06-05T21:15:06Z</t>
  </si>
  <si>
    <t>2013-07-16T23:19:16Z</t>
  </si>
  <si>
    <t>2020-06-25T14:03:38Z</t>
  </si>
  <si>
    <t>2016-12-14T13:19:55Z</t>
  </si>
  <si>
    <t>2020-06-25T20:00:00Z</t>
  </si>
  <si>
    <t>2020-05-21T20:54:08Z</t>
  </si>
  <si>
    <t>2020-06-12T18:46:33Z</t>
  </si>
  <si>
    <t>2020-04-14T22:59:30Z</t>
  </si>
  <si>
    <t>2012-01-24T00:49:09Z</t>
  </si>
  <si>
    <t>2020-06-23T17:39:59Z</t>
  </si>
  <si>
    <t>2019-02-03T15:00:03Z</t>
  </si>
  <si>
    <t>2020-06-24T21:25:40Z</t>
  </si>
  <si>
    <t>2019-05-16T20:35:44Z</t>
  </si>
  <si>
    <t>2017-07-11T02:05:59Z</t>
  </si>
  <si>
    <t>2017-11-10T14:00:02Z</t>
  </si>
  <si>
    <t>2020-06-10T01:35:21Z</t>
  </si>
  <si>
    <t>2020-06-15T19:50:10Z</t>
  </si>
  <si>
    <t>2020-06-20T08:14:16Z</t>
  </si>
  <si>
    <t>2020-06-23T18:04:02Z</t>
  </si>
  <si>
    <t>2016-01-20T10:46:04Z</t>
  </si>
  <si>
    <t>2016-10-26T06:58:16Z</t>
  </si>
  <si>
    <t>2020-06-04T16:57:31Z</t>
  </si>
  <si>
    <t>2020-06-19T01:30:09Z</t>
  </si>
  <si>
    <t>2020-05-06T20:22:00Z</t>
  </si>
  <si>
    <t>2020-06-07T21:44:12Z</t>
  </si>
  <si>
    <t>2020-06-21T11:44:34Z</t>
  </si>
  <si>
    <t>2020-06-25T06:26:38Z</t>
  </si>
  <si>
    <t>2020-06-12T20:24:25Z</t>
  </si>
  <si>
    <t>2013-08-22T15:26:54Z</t>
  </si>
  <si>
    <t>2019-11-27T11:30:18Z</t>
  </si>
  <si>
    <t>2020-05-26T04:03:39Z</t>
  </si>
  <si>
    <t>2020-05-25T10:00:16Z</t>
  </si>
  <si>
    <t>2015-09-09T14:40:09Z</t>
  </si>
  <si>
    <t>2020-06-23T00:41:49Z</t>
  </si>
  <si>
    <t>2020-06-04T17:00:02Z</t>
  </si>
  <si>
    <t>2020-06-15T00:52:31Z</t>
  </si>
  <si>
    <t>2020-05-18T20:10:09Z</t>
  </si>
  <si>
    <t>2020-06-21T22:29:39Z</t>
  </si>
  <si>
    <t>2020-06-25T06:30:01Z</t>
  </si>
  <si>
    <t>2020-06-12T04:15:01Z</t>
  </si>
  <si>
    <t>2020-06-21T04:15:00Z</t>
  </si>
  <si>
    <t>2020-06-23T13:00:05Z</t>
  </si>
  <si>
    <t>2019-10-18T13:19:21Z</t>
  </si>
  <si>
    <t>2020-01-04T09:39:50Z</t>
  </si>
  <si>
    <t>2020-01-09T04:15:02Z</t>
  </si>
  <si>
    <t>2020-06-25T06:49:04Z</t>
  </si>
  <si>
    <t>2020-05-05T06:00:11Z</t>
  </si>
  <si>
    <t>2019-05-12T03:30:01Z</t>
  </si>
  <si>
    <t>2020-03-28T04:30:00Z</t>
  </si>
  <si>
    <t>2020-06-02T04:15:02Z</t>
  </si>
  <si>
    <t>2020-04-22T14:30:16Z</t>
  </si>
  <si>
    <t>2020-06-24T17:30:03Z</t>
  </si>
  <si>
    <t>2020-06-25T17:30:01Z</t>
  </si>
  <si>
    <t>2020-05-04T06:30:04Z</t>
  </si>
  <si>
    <t>2020-05-15T07:13:57Z</t>
  </si>
  <si>
    <t>2019-09-30T12:30:45Z</t>
  </si>
  <si>
    <t>2020-03-22T11:00:02Z</t>
  </si>
  <si>
    <t>2020-05-13T06:30:06Z</t>
  </si>
  <si>
    <t>2020-06-04T16:12:03Z</t>
  </si>
  <si>
    <t>Play Video in Browser</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</si>
  <si>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</si>
  <si>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</si>
  <si>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</si>
  <si>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</si>
  <si>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</si>
  <si>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</si>
  <si>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</si>
  <si>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</si>
  <si>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</si>
  <si>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</si>
  <si>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</si>
  <si>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</si>
  <si>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</si>
  <si>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</si>
  <si>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</si>
  <si>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</si>
  <si>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</si>
  <si>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</si>
  <si>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</si>
  <si>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</si>
  <si>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</si>
  <si>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</si>
  <si>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</si>
  <si>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</si>
  <si>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</si>
  <si>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</si>
  <si>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</si>
  <si>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</si>
  <si>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</si>
  <si>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</si>
  <si>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</si>
  <si>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</si>
  <si>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</si>
  <si>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coronavirus</t>
  </si>
  <si>
    <t>news</t>
  </si>
  <si>
    <t>covid</t>
  </si>
  <si>
    <t>vaccine</t>
  </si>
  <si>
    <t>19</t>
  </si>
  <si>
    <t>corona</t>
  </si>
  <si>
    <t>trump</t>
  </si>
  <si>
    <t>virus</t>
  </si>
  <si>
    <t>health</t>
  </si>
  <si>
    <t>pandemic</t>
  </si>
  <si>
    <t>china</t>
  </si>
  <si>
    <t>update</t>
  </si>
  <si>
    <t>outbreak</t>
  </si>
  <si>
    <t>travel</t>
  </si>
  <si>
    <t>morning</t>
  </si>
  <si>
    <t>bike</t>
  </si>
  <si>
    <t>politics</t>
  </si>
  <si>
    <t>documentary</t>
  </si>
  <si>
    <t>stock</t>
  </si>
  <si>
    <t>dr</t>
  </si>
  <si>
    <t>nbc</t>
  </si>
  <si>
    <t>wired</t>
  </si>
  <si>
    <t>donald</t>
  </si>
  <si>
    <t>nightly</t>
  </si>
  <si>
    <t>girl</t>
  </si>
  <si>
    <t>police</t>
  </si>
  <si>
    <t>2020</t>
  </si>
  <si>
    <t>breaking</t>
  </si>
  <si>
    <t>lockdown</t>
  </si>
  <si>
    <t>motovlogger</t>
  </si>
  <si>
    <t>ridergirl</t>
  </si>
  <si>
    <t>live</t>
  </si>
  <si>
    <t>symptoms</t>
  </si>
  <si>
    <t>vlogs</t>
  </si>
  <si>
    <t>singapore</t>
  </si>
  <si>
    <t>funny</t>
  </si>
  <si>
    <t>president</t>
  </si>
  <si>
    <t>money</t>
  </si>
  <si>
    <t>global</t>
  </si>
  <si>
    <t>india</t>
  </si>
  <si>
    <t>nigerian</t>
  </si>
  <si>
    <t>social</t>
  </si>
  <si>
    <t>distancing</t>
  </si>
  <si>
    <t>interview</t>
  </si>
  <si>
    <t>doctor</t>
  </si>
  <si>
    <t>quarantine</t>
  </si>
  <si>
    <t>george</t>
  </si>
  <si>
    <t>motovlogs</t>
  </si>
  <si>
    <t>science</t>
  </si>
  <si>
    <t>flu</t>
  </si>
  <si>
    <t>floyd</t>
  </si>
  <si>
    <t>stories</t>
  </si>
  <si>
    <t>market</t>
  </si>
  <si>
    <t>finance</t>
  </si>
  <si>
    <t>education</t>
  </si>
  <si>
    <t>lee</t>
  </si>
  <si>
    <t>death</t>
  </si>
  <si>
    <t>phillip</t>
  </si>
  <si>
    <t>trt</t>
  </si>
  <si>
    <t>vaccines</t>
  </si>
  <si>
    <t>university</t>
  </si>
  <si>
    <t>disease</t>
  </si>
  <si>
    <t>house</t>
  </si>
  <si>
    <t>holly</t>
  </si>
  <si>
    <t>testing</t>
  </si>
  <si>
    <t>explained</t>
  </si>
  <si>
    <t>australia</t>
  </si>
  <si>
    <t>family</t>
  </si>
  <si>
    <t>oxford</t>
  </si>
  <si>
    <t>business</t>
  </si>
  <si>
    <t>cable</t>
  </si>
  <si>
    <t>infographics</t>
  </si>
  <si>
    <t>treatment</t>
  </si>
  <si>
    <t>white</t>
  </si>
  <si>
    <t>female</t>
  </si>
  <si>
    <t>vaccination</t>
  </si>
  <si>
    <t>summit</t>
  </si>
  <si>
    <t>covid19</t>
  </si>
  <si>
    <t>medical</t>
  </si>
  <si>
    <t>spread</t>
  </si>
  <si>
    <t>episode</t>
  </si>
  <si>
    <t>fox</t>
  </si>
  <si>
    <t>medicine</t>
  </si>
  <si>
    <t>hsien</t>
  </si>
  <si>
    <t>abc</t>
  </si>
  <si>
    <t>wave</t>
  </si>
  <si>
    <t>deaths</t>
  </si>
  <si>
    <t>life</t>
  </si>
  <si>
    <t>msnbc</t>
  </si>
  <si>
    <t>christy</t>
  </si>
  <si>
    <t>trevor</t>
  </si>
  <si>
    <t>cnn</t>
  </si>
  <si>
    <t>duke</t>
  </si>
  <si>
    <t>lifestyle</t>
  </si>
  <si>
    <t>vishakha</t>
  </si>
  <si>
    <t>loong</t>
  </si>
  <si>
    <t>vox</t>
  </si>
  <si>
    <t>russia</t>
  </si>
  <si>
    <t>war</t>
  </si>
  <si>
    <t>human</t>
  </si>
  <si>
    <t>joe</t>
  </si>
  <si>
    <t>culture</t>
  </si>
  <si>
    <t>lester</t>
  </si>
  <si>
    <t>holt</t>
  </si>
  <si>
    <t>comedy</t>
  </si>
  <si>
    <t>nigeria</t>
  </si>
  <si>
    <t>organization</t>
  </si>
  <si>
    <t>wion</t>
  </si>
  <si>
    <t>government</t>
  </si>
  <si>
    <t>infection</t>
  </si>
  <si>
    <t>prevention</t>
  </si>
  <si>
    <t>updates</t>
  </si>
  <si>
    <t>hospital</t>
  </si>
  <si>
    <t>funniest</t>
  </si>
  <si>
    <t>daily</t>
  </si>
  <si>
    <t>60</t>
  </si>
  <si>
    <t>minutes</t>
  </si>
  <si>
    <t>britain</t>
  </si>
  <si>
    <t>current</t>
  </si>
  <si>
    <t>events</t>
  </si>
  <si>
    <t>noah</t>
  </si>
  <si>
    <t>dark</t>
  </si>
  <si>
    <t>rgv</t>
  </si>
  <si>
    <t>ktm</t>
  </si>
  <si>
    <t>haircut</t>
  </si>
  <si>
    <t>stocks</t>
  </si>
  <si>
    <t>united</t>
  </si>
  <si>
    <t>senate</t>
  </si>
  <si>
    <t>rate</t>
  </si>
  <si>
    <t>korea</t>
  </si>
  <si>
    <t>prime</t>
  </si>
  <si>
    <t>minister</t>
  </si>
  <si>
    <t>day</t>
  </si>
  <si>
    <t>spanish</t>
  </si>
  <si>
    <t>black</t>
  </si>
  <si>
    <t>york</t>
  </si>
  <si>
    <t>story</t>
  </si>
  <si>
    <t>usa</t>
  </si>
  <si>
    <t>documentaries</t>
  </si>
  <si>
    <t>biology</t>
  </si>
  <si>
    <t>night</t>
  </si>
  <si>
    <t>election</t>
  </si>
  <si>
    <t>talk</t>
  </si>
  <si>
    <t>seattle</t>
  </si>
  <si>
    <t>lottery</t>
  </si>
  <si>
    <t>antifa</t>
  </si>
  <si>
    <t>rides</t>
  </si>
  <si>
    <t>gates</t>
  </si>
  <si>
    <t>financial</t>
  </si>
  <si>
    <t>elections</t>
  </si>
  <si>
    <t>explainer</t>
  </si>
  <si>
    <t>immune</t>
  </si>
  <si>
    <t>wuhan</t>
  </si>
  <si>
    <t>willoughby</t>
  </si>
  <si>
    <t>schofield</t>
  </si>
  <si>
    <t>cna</t>
  </si>
  <si>
    <t>videos</t>
  </si>
  <si>
    <t>dw</t>
  </si>
  <si>
    <t>tips</t>
  </si>
  <si>
    <t>flying</t>
  </si>
  <si>
    <t>australian</t>
  </si>
  <si>
    <t>station</t>
  </si>
  <si>
    <t>risinger</t>
  </si>
  <si>
    <t>trials</t>
  </si>
  <si>
    <t>ted</t>
  </si>
  <si>
    <t>north</t>
  </si>
  <si>
    <t>wheels</t>
  </si>
  <si>
    <t>390</t>
  </si>
  <si>
    <t>kurla</t>
  </si>
  <si>
    <t>chor</t>
  </si>
  <si>
    <t>gavi</t>
  </si>
  <si>
    <t>cure</t>
  </si>
  <si>
    <t>report</t>
  </si>
  <si>
    <t>mike</t>
  </si>
  <si>
    <t>care</t>
  </si>
  <si>
    <t>wash</t>
  </si>
  <si>
    <t>times</t>
  </si>
  <si>
    <t>john</t>
  </si>
  <si>
    <t>air</t>
  </si>
  <si>
    <t>fauci</t>
  </si>
  <si>
    <t>control</t>
  </si>
  <si>
    <t>biden</t>
  </si>
  <si>
    <t>pop</t>
  </si>
  <si>
    <t>cnbc</t>
  </si>
  <si>
    <t>happening</t>
  </si>
  <si>
    <t>bbc</t>
  </si>
  <si>
    <t>ari</t>
  </si>
  <si>
    <t>melber</t>
  </si>
  <si>
    <t>cut</t>
  </si>
  <si>
    <t>dexamethasone</t>
  </si>
  <si>
    <t>vice</t>
  </si>
  <si>
    <t>bmw</t>
  </si>
  <si>
    <t>indies</t>
  </si>
  <si>
    <t>femalemotovlogger</t>
  </si>
  <si>
    <t>debate</t>
  </si>
  <si>
    <t>moderna</t>
  </si>
  <si>
    <t>lab</t>
  </si>
  <si>
    <t>autopsy</t>
  </si>
  <si>
    <t>soap</t>
  </si>
  <si>
    <t>immunity</t>
  </si>
  <si>
    <t>protection</t>
  </si>
  <si>
    <t>cruise</t>
  </si>
  <si>
    <t>leyland</t>
  </si>
  <si>
    <t>brazil</t>
  </si>
  <si>
    <t>people</t>
  </si>
  <si>
    <t>late</t>
  </si>
  <si>
    <t>anti</t>
  </si>
  <si>
    <t>morgan</t>
  </si>
  <si>
    <t>topic</t>
  </si>
  <si>
    <t>germany</t>
  </si>
  <si>
    <t>jim</t>
  </si>
  <si>
    <t>speech</t>
  </si>
  <si>
    <t>51</t>
  </si>
  <si>
    <t>real</t>
  </si>
  <si>
    <t>bazaar</t>
  </si>
  <si>
    <t>apc</t>
  </si>
  <si>
    <t>buhari</t>
  </si>
  <si>
    <t>pharma</t>
  </si>
  <si>
    <t>america</t>
  </si>
  <si>
    <t>explain</t>
  </si>
  <si>
    <t>sky</t>
  </si>
  <si>
    <t>protests</t>
  </si>
  <si>
    <t>nyc</t>
  </si>
  <si>
    <t>economy</t>
  </si>
  <si>
    <t>1918</t>
  </si>
  <si>
    <t>royal</t>
  </si>
  <si>
    <t>safe</t>
  </si>
  <si>
    <t>peter</t>
  </si>
  <si>
    <t>national</t>
  </si>
  <si>
    <t>cdc</t>
  </si>
  <si>
    <t>isolation</t>
  </si>
  <si>
    <t>diary</t>
  </si>
  <si>
    <t>breakfast</t>
  </si>
  <si>
    <t>piers</t>
  </si>
  <si>
    <t>netcast</t>
  </si>
  <si>
    <t>mumbai</t>
  </si>
  <si>
    <t>acosta</t>
  </si>
  <si>
    <t>mega</t>
  </si>
  <si>
    <t>millions</t>
  </si>
  <si>
    <t>zodiac</t>
  </si>
  <si>
    <t>killer</t>
  </si>
  <si>
    <t>ntd</t>
  </si>
  <si>
    <t>alliance</t>
  </si>
  <si>
    <t>martin</t>
  </si>
  <si>
    <t>media</t>
  </si>
  <si>
    <t>stay</t>
  </si>
  <si>
    <t>antibody</t>
  </si>
  <si>
    <t>epidemic</t>
  </si>
  <si>
    <t>tests</t>
  </si>
  <si>
    <t>hands</t>
  </si>
  <si>
    <t>hong</t>
  </si>
  <si>
    <t>kong</t>
  </si>
  <si>
    <t>college</t>
  </si>
  <si>
    <t>cold</t>
  </si>
  <si>
    <t>brain</t>
  </si>
  <si>
    <t>body</t>
  </si>
  <si>
    <t>light</t>
  </si>
  <si>
    <t>plague</t>
  </si>
  <si>
    <t>investigation</t>
  </si>
  <si>
    <t>survivor</t>
  </si>
  <si>
    <t>stefanovic</t>
  </si>
  <si>
    <t>sarah</t>
  </si>
  <si>
    <t>brothers</t>
  </si>
  <si>
    <t>unemployment</t>
  </si>
  <si>
    <t>rights</t>
  </si>
  <si>
    <t>nurse</t>
  </si>
  <si>
    <t>future</t>
  </si>
  <si>
    <t>comedian</t>
  </si>
  <si>
    <t>racism</t>
  </si>
  <si>
    <t>security</t>
  </si>
  <si>
    <t>protest</t>
  </si>
  <si>
    <t>television</t>
  </si>
  <si>
    <t>rally</t>
  </si>
  <si>
    <t>surgeon</t>
  </si>
  <si>
    <t>gmb</t>
  </si>
  <si>
    <t>masks</t>
  </si>
  <si>
    <t>recovery</t>
  </si>
  <si>
    <t>girls</t>
  </si>
  <si>
    <t>zone</t>
  </si>
  <si>
    <t>crime</t>
  </si>
  <si>
    <t>winners</t>
  </si>
  <si>
    <t>coma</t>
  </si>
  <si>
    <t>pakistan</t>
  </si>
  <si>
    <t>william</t>
  </si>
  <si>
    <t>assange</t>
  </si>
  <si>
    <t>photoshoot</t>
  </si>
  <si>
    <t>immunisation</t>
  </si>
  <si>
    <t>public</t>
  </si>
  <si>
    <t>republic</t>
  </si>
  <si>
    <t>johnson</t>
  </si>
  <si>
    <t>viable</t>
  </si>
  <si>
    <t>viabletv</t>
  </si>
  <si>
    <t>senator</t>
  </si>
  <si>
    <t>inec</t>
  </si>
  <si>
    <t>healthcare</t>
  </si>
  <si>
    <t>sars</t>
  </si>
  <si>
    <t>international</t>
  </si>
  <si>
    <t>south</t>
  </si>
  <si>
    <t>english</t>
  </si>
  <si>
    <t>toll</t>
  </si>
  <si>
    <t>african</t>
  </si>
  <si>
    <t>americans</t>
  </si>
  <si>
    <t>lives</t>
  </si>
  <si>
    <t>force</t>
  </si>
  <si>
    <t>diseases</t>
  </si>
  <si>
    <t>bloomberg</t>
  </si>
  <si>
    <t>bcg</t>
  </si>
  <si>
    <t>voice</t>
  </si>
  <si>
    <t>economist</t>
  </si>
  <si>
    <t>military</t>
  </si>
  <si>
    <t>uvc</t>
  </si>
  <si>
    <t>corners</t>
  </si>
  <si>
    <t>legal</t>
  </si>
  <si>
    <t>liz</t>
  </si>
  <si>
    <t>hayes</t>
  </si>
  <si>
    <t>charles</t>
  </si>
  <si>
    <t>wooley</t>
  </si>
  <si>
    <t>liam</t>
  </si>
  <si>
    <t>bartlett</t>
  </si>
  <si>
    <t>allison</t>
  </si>
  <si>
    <t>langdon</t>
  </si>
  <si>
    <t>tom</t>
  </si>
  <si>
    <t>steinfort</t>
  </si>
  <si>
    <t>abo</t>
  </si>
  <si>
    <t>dna</t>
  </si>
  <si>
    <t>political</t>
  </si>
  <si>
    <t>wsj</t>
  </si>
  <si>
    <t>street</t>
  </si>
  <si>
    <t>exclusive</t>
  </si>
  <si>
    <t>chinese</t>
  </si>
  <si>
    <t>physiology</t>
  </si>
  <si>
    <t>nursing</t>
  </si>
  <si>
    <t>nclex</t>
  </si>
  <si>
    <t>pathophysiology</t>
  </si>
  <si>
    <t>campbell</t>
  </si>
  <si>
    <t>hydroxychloroquine</t>
  </si>
  <si>
    <t>fast</t>
  </si>
  <si>
    <t>democrats</t>
  </si>
  <si>
    <t>trial</t>
  </si>
  <si>
    <t>jon</t>
  </si>
  <si>
    <t>kawasaki</t>
  </si>
  <si>
    <t>antibodies</t>
  </si>
  <si>
    <t>annie</t>
  </si>
  <si>
    <t>onishi</t>
  </si>
  <si>
    <t>itv</t>
  </si>
  <si>
    <t>susanna</t>
  </si>
  <si>
    <t>reid</t>
  </si>
  <si>
    <t>kids</t>
  </si>
  <si>
    <t>bolsonaro</t>
  </si>
  <si>
    <t>scmp</t>
  </si>
  <si>
    <t>compilation</t>
  </si>
  <si>
    <t>online</t>
  </si>
  <si>
    <t>celebrity</t>
  </si>
  <si>
    <t>progressive</t>
  </si>
  <si>
    <t>jimmy</t>
  </si>
  <si>
    <t>obama</t>
  </si>
  <si>
    <t>educational</t>
  </si>
  <si>
    <t>autonomous</t>
  </si>
  <si>
    <t>animation</t>
  </si>
  <si>
    <t>animated</t>
  </si>
  <si>
    <t>rob</t>
  </si>
  <si>
    <t>guarded</t>
  </si>
  <si>
    <t>winner</t>
  </si>
  <si>
    <t>love</t>
  </si>
  <si>
    <t>reincarnation</t>
  </si>
  <si>
    <t>prince</t>
  </si>
  <si>
    <t>cambridge</t>
  </si>
  <si>
    <t>highwireradio</t>
  </si>
  <si>
    <t>jubilee</t>
  </si>
  <si>
    <t>autism</t>
  </si>
  <si>
    <t>africa</t>
  </si>
  <si>
    <t>voicetv</t>
  </si>
  <si>
    <t>focus</t>
  </si>
  <si>
    <t>channels</t>
  </si>
  <si>
    <t>andy</t>
  </si>
  <si>
    <t>ngo</t>
  </si>
  <si>
    <t>prosecutor</t>
  </si>
  <si>
    <t>blood</t>
  </si>
  <si>
    <t>donation</t>
  </si>
  <si>
    <t>periods</t>
  </si>
  <si>
    <t>instagram</t>
  </si>
  <si>
    <t>hair</t>
  </si>
  <si>
    <t>hairs</t>
  </si>
  <si>
    <t>delivery</t>
  </si>
  <si>
    <t>cgtn</t>
  </si>
  <si>
    <t>indian</t>
  </si>
  <si>
    <t>child</t>
  </si>
  <si>
    <t>crisis</t>
  </si>
  <si>
    <t>mrna</t>
  </si>
  <si>
    <t>cbs</t>
  </si>
  <si>
    <t>texas</t>
  </si>
  <si>
    <t>p_cmsid</t>
  </si>
  <si>
    <t>2494279</t>
  </si>
  <si>
    <t>p_vid</t>
  </si>
  <si>
    <t>scientists</t>
  </si>
  <si>
    <t>stream</t>
  </si>
  <si>
    <t>killing</t>
  </si>
  <si>
    <t>murder</t>
  </si>
  <si>
    <t>violence</t>
  </si>
  <si>
    <t>matter</t>
  </si>
  <si>
    <t>layer</t>
  </si>
  <si>
    <t>hand</t>
  </si>
  <si>
    <t>insurance</t>
  </si>
  <si>
    <t>fatality</t>
  </si>
  <si>
    <t>city</t>
  </si>
  <si>
    <t>insider</t>
  </si>
  <si>
    <t>newsasia</t>
  </si>
  <si>
    <t>country</t>
  </si>
  <si>
    <t>putin</t>
  </si>
  <si>
    <t>trade</t>
  </si>
  <si>
    <t>belt</t>
  </si>
  <si>
    <t>road</t>
  </si>
  <si>
    <t>food</t>
  </si>
  <si>
    <t>power</t>
  </si>
  <si>
    <t>aerosols</t>
  </si>
  <si>
    <t>uv</t>
  </si>
  <si>
    <t>plane</t>
  </si>
  <si>
    <t>influenza</t>
  </si>
  <si>
    <t>volcano</t>
  </si>
  <si>
    <t>sydney</t>
  </si>
  <si>
    <t>pilot</t>
  </si>
  <si>
    <t>ship</t>
  </si>
  <si>
    <t>tara</t>
  </si>
  <si>
    <t>brown</t>
  </si>
  <si>
    <t>ellen</t>
  </si>
  <si>
    <t>fanning</t>
  </si>
  <si>
    <t>overton</t>
  </si>
  <si>
    <t>karl</t>
  </si>
  <si>
    <t>lost</t>
  </si>
  <si>
    <t>los</t>
  </si>
  <si>
    <t>angeles</t>
  </si>
  <si>
    <t>anthony</t>
  </si>
  <si>
    <t>timeline</t>
  </si>
  <si>
    <t>herd</t>
  </si>
  <si>
    <t>wall</t>
  </si>
  <si>
    <t>explains</t>
  </si>
  <si>
    <t>interviews</t>
  </si>
  <si>
    <t>david</t>
  </si>
  <si>
    <t>liberal</t>
  </si>
  <si>
    <t>insys</t>
  </si>
  <si>
    <t>subsys</t>
  </si>
  <si>
    <t>civil</t>
  </si>
  <si>
    <t>princess</t>
  </si>
  <si>
    <t>nsw</t>
  </si>
  <si>
    <t>seema</t>
  </si>
  <si>
    <t>yasmin</t>
  </si>
  <si>
    <t>12</t>
  </si>
  <si>
    <t>reopening</t>
  </si>
  <si>
    <t>polls</t>
  </si>
  <si>
    <t>center</t>
  </si>
  <si>
    <t>reisinger</t>
  </si>
  <si>
    <t>autocomplete</t>
  </si>
  <si>
    <t>stewart</t>
  </si>
  <si>
    <t>racist</t>
  </si>
  <si>
    <t>american</t>
  </si>
  <si>
    <t>gupta</t>
  </si>
  <si>
    <t>seth</t>
  </si>
  <si>
    <t>meyers</t>
  </si>
  <si>
    <t>stand</t>
  </si>
  <si>
    <t>eu</t>
  </si>
  <si>
    <t>airplane</t>
  </si>
  <si>
    <t>safety</t>
  </si>
  <si>
    <t>surgical</t>
  </si>
  <si>
    <t>resident</t>
  </si>
  <si>
    <t>reacts</t>
  </si>
  <si>
    <t>nhs</t>
  </si>
  <si>
    <t>secretary</t>
  </si>
  <si>
    <t>phase</t>
  </si>
  <si>
    <t>ross</t>
  </si>
  <si>
    <t>greer</t>
  </si>
  <si>
    <t>sick</t>
  </si>
  <si>
    <t>volunteers</t>
  </si>
  <si>
    <t>europe</t>
  </si>
  <si>
    <t>governor</t>
  </si>
  <si>
    <t>runners</t>
  </si>
  <si>
    <t>curly</t>
  </si>
  <si>
    <t>moments</t>
  </si>
  <si>
    <t>ukrainian</t>
  </si>
  <si>
    <t>kristine</t>
  </si>
  <si>
    <t>barnett</t>
  </si>
  <si>
    <t>ukraine</t>
  </si>
  <si>
    <t>colbert</t>
  </si>
  <si>
    <t>bolton</t>
  </si>
  <si>
    <t>bush</t>
  </si>
  <si>
    <t>book</t>
  </si>
  <si>
    <t>secrets</t>
  </si>
  <si>
    <t>press</t>
  </si>
  <si>
    <t>conference</t>
  </si>
  <si>
    <t>kimmel</t>
  </si>
  <si>
    <t>convention</t>
  </si>
  <si>
    <t>aliens</t>
  </si>
  <si>
    <t>2019</t>
  </si>
  <si>
    <t>heavily</t>
  </si>
  <si>
    <t>winning</t>
  </si>
  <si>
    <t>army</t>
  </si>
  <si>
    <t>1000</t>
  </si>
  <si>
    <t>evidence</t>
  </si>
  <si>
    <t>mystery</t>
  </si>
  <si>
    <t>powerful</t>
  </si>
  <si>
    <t>prison</t>
  </si>
  <si>
    <t>vaccinate</t>
  </si>
  <si>
    <t>netflix</t>
  </si>
  <si>
    <t>dating</t>
  </si>
  <si>
    <t>kim</t>
  </si>
  <si>
    <t>क</t>
  </si>
  <si>
    <t>न</t>
  </si>
  <si>
    <t>drug</t>
  </si>
  <si>
    <t>bol</t>
  </si>
  <si>
    <t>troops</t>
  </si>
  <si>
    <t>swarm</t>
  </si>
  <si>
    <t>beijing</t>
  </si>
  <si>
    <t>truth</t>
  </si>
  <si>
    <t>schneider</t>
  </si>
  <si>
    <t>unstoppable</t>
  </si>
  <si>
    <t>jazeera</t>
  </si>
  <si>
    <t>reports</t>
  </si>
  <si>
    <t>julian</t>
  </si>
  <si>
    <t>wikileaks</t>
  </si>
  <si>
    <t>embassy</t>
  </si>
  <si>
    <t>hasan</t>
  </si>
  <si>
    <t>minhaj</t>
  </si>
  <si>
    <t>marijuana</t>
  </si>
  <si>
    <t>weed</t>
  </si>
  <si>
    <t>federal</t>
  </si>
  <si>
    <t>red</t>
  </si>
  <si>
    <t>koka</t>
  </si>
  <si>
    <t>haircuts</t>
  </si>
  <si>
    <t>mondiale</t>
  </si>
  <si>
    <t>pandemics</t>
  </si>
  <si>
    <t>kingdom</t>
  </si>
  <si>
    <t>boris</t>
  </si>
  <si>
    <t>studies</t>
  </si>
  <si>
    <t>insight</t>
  </si>
  <si>
    <t>study</t>
  </si>
  <si>
    <t>hiv</t>
  </si>
  <si>
    <t>institute</t>
  </si>
  <si>
    <t>seoul</t>
  </si>
  <si>
    <t>asia</t>
  </si>
  <si>
    <t>florida</t>
  </si>
  <si>
    <t>gma</t>
  </si>
  <si>
    <t>lung</t>
  </si>
  <si>
    <t>bacteria</t>
  </si>
  <si>
    <t>pneumonia</t>
  </si>
  <si>
    <t>apakah</t>
  </si>
  <si>
    <t>itu</t>
  </si>
  <si>
    <t>justice</t>
  </si>
  <si>
    <t>water</t>
  </si>
  <si>
    <t>song</t>
  </si>
  <si>
    <t>kill</t>
  </si>
  <si>
    <t>policy</t>
  </si>
  <si>
    <t>mortality</t>
  </si>
  <si>
    <t>kits</t>
  </si>
  <si>
    <t>vpm</t>
  </si>
  <si>
    <t>jobs</t>
  </si>
  <si>
    <t>dialogue</t>
  </si>
  <si>
    <t>economic</t>
  </si>
  <si>
    <t>washington</t>
  </si>
  <si>
    <t>peoples</t>
  </si>
  <si>
    <t>manufacturing</t>
  </si>
  <si>
    <t>therapeutics</t>
  </si>
  <si>
    <t>kuan</t>
  </si>
  <si>
    <t>yew</t>
  </si>
  <si>
    <t>insead</t>
  </si>
  <si>
    <t>short</t>
  </si>
  <si>
    <t>nationalism</t>
  </si>
  <si>
    <t>richard</t>
  </si>
  <si>
    <t>walker</t>
  </si>
  <si>
    <t>sea</t>
  </si>
  <si>
    <t>nutrition</t>
  </si>
  <si>
    <t>effects</t>
  </si>
  <si>
    <t>consequences</t>
  </si>
  <si>
    <t>deutsche</t>
  </si>
  <si>
    <t>welle</t>
  </si>
  <si>
    <t>funding</t>
  </si>
  <si>
    <t>cancer</t>
  </si>
  <si>
    <t>zealand</t>
  </si>
  <si>
    <t>island</t>
  </si>
  <si>
    <t>cruises</t>
  </si>
  <si>
    <t>journalism</t>
  </si>
  <si>
    <t>hero</t>
  </si>
  <si>
    <t>tourism</t>
  </si>
  <si>
    <t>service</t>
  </si>
  <si>
    <t>ash</t>
  </si>
  <si>
    <t>guide</t>
  </si>
  <si>
    <t>ray</t>
  </si>
  <si>
    <t>munro</t>
  </si>
  <si>
    <t>parents</t>
  </si>
  <si>
    <t>northern</t>
  </si>
  <si>
    <t>territory</t>
  </si>
  <si>
    <t>climate</t>
  </si>
  <si>
    <t>change</t>
  </si>
  <si>
    <t>race</t>
  </si>
  <si>
    <t>drugs</t>
  </si>
  <si>
    <t>pharmaceuticals</t>
  </si>
  <si>
    <t>journal</t>
  </si>
  <si>
    <t>scott</t>
  </si>
  <si>
    <t>reserve</t>
  </si>
  <si>
    <t>host</t>
  </si>
  <si>
    <t>heroin</t>
  </si>
  <si>
    <t>doctors</t>
  </si>
  <si>
    <t>opioid</t>
  </si>
  <si>
    <t>syndrome</t>
  </si>
  <si>
    <t>access</t>
  </si>
  <si>
    <t>ruby</t>
  </si>
  <si>
    <t>carnival</t>
  </si>
  <si>
    <t>staff</t>
  </si>
  <si>
    <t>barry</t>
  </si>
  <si>
    <t>hope</t>
  </si>
  <si>
    <t>months</t>
  </si>
  <si>
    <t>movers</t>
  </si>
  <si>
    <t>republicans</t>
  </si>
  <si>
    <t>scarborough</t>
  </si>
  <si>
    <t>willie</t>
  </si>
  <si>
    <t>geist</t>
  </si>
  <si>
    <t>benefits</t>
  </si>
  <si>
    <t>researchers</t>
  </si>
  <si>
    <t>magazine</t>
  </si>
  <si>
    <t>briefing</t>
  </si>
  <si>
    <t>episodes</t>
  </si>
  <si>
    <t>central</t>
  </si>
  <si>
    <t>comedians</t>
  </si>
  <si>
    <t>clips</t>
  </si>
  <si>
    <t>statues</t>
  </si>
  <si>
    <t>movie</t>
  </si>
  <si>
    <t>halftime</t>
  </si>
  <si>
    <t>arrest</t>
  </si>
  <si>
    <t>killed</t>
  </si>
  <si>
    <t>sanjay</t>
  </si>
  <si>
    <t>berman</t>
  </si>
  <si>
    <t>humor</t>
  </si>
  <si>
    <t>satire</t>
  </si>
  <si>
    <t>spike</t>
  </si>
  <si>
    <t>vaxxers</t>
  </si>
  <si>
    <t>30</t>
  </si>
  <si>
    <t>squawk</t>
  </si>
  <si>
    <t>box</t>
  </si>
  <si>
    <t>confirmed</t>
  </si>
  <si>
    <t>worldwide</t>
  </si>
  <si>
    <t>quibi</t>
  </si>
  <si>
    <t>answered</t>
  </si>
  <si>
    <t>airplanes</t>
  </si>
  <si>
    <t>design</t>
  </si>
  <si>
    <t>imperial</t>
  </si>
  <si>
    <t>london</t>
  </si>
  <si>
    <t>matt</t>
  </si>
  <si>
    <t>hancock</t>
  </si>
  <si>
    <t>scotland</t>
  </si>
  <si>
    <t>community</t>
  </si>
  <si>
    <t>bob</t>
  </si>
  <si>
    <t>seely</t>
  </si>
  <si>
    <t>illness</t>
  </si>
  <si>
    <t>doc</t>
  </si>
  <si>
    <t>pbs</t>
  </si>
  <si>
    <t>vaccinations</t>
  </si>
  <si>
    <t>tonight</t>
  </si>
  <si>
    <t>jair</t>
  </si>
  <si>
    <t>capacity</t>
  </si>
  <si>
    <t>women</t>
  </si>
  <si>
    <t>issues</t>
  </si>
  <si>
    <t>deep</t>
  </si>
  <si>
    <t>pre</t>
  </si>
  <si>
    <t>airborne</t>
  </si>
  <si>
    <t>transmission</t>
  </si>
  <si>
    <t>running</t>
  </si>
  <si>
    <t>rates</t>
  </si>
  <si>
    <t>trans</t>
  </si>
  <si>
    <t>ruth</t>
  </si>
  <si>
    <t>langsford</t>
  </si>
  <si>
    <t>chat</t>
  </si>
  <si>
    <t>laughing</t>
  </si>
  <si>
    <t>nurses</t>
  </si>
  <si>
    <t>fergus</t>
  </si>
  <si>
    <t>walsh</t>
  </si>
  <si>
    <t>correspondent</t>
  </si>
  <si>
    <t>editor</t>
  </si>
  <si>
    <t>22</t>
  </si>
  <si>
    <t>natalia</t>
  </si>
  <si>
    <t>grace</t>
  </si>
  <si>
    <t>adoption</t>
  </si>
  <si>
    <t>stephen</t>
  </si>
  <si>
    <t>jokes</t>
  </si>
  <si>
    <t>jersey</t>
  </si>
  <si>
    <t>impeachment</t>
  </si>
  <si>
    <t>beat</t>
  </si>
  <si>
    <t>administration</t>
  </si>
  <si>
    <t>republican</t>
  </si>
  <si>
    <t>anderson</t>
  </si>
  <si>
    <t>cooper</t>
  </si>
  <si>
    <t>ac360</t>
  </si>
  <si>
    <t>jake</t>
  </si>
  <si>
    <t>tapper</t>
  </si>
  <si>
    <t>niece</t>
  </si>
  <si>
    <t>midterm</t>
  </si>
  <si>
    <t>2018</t>
  </si>
  <si>
    <t>banned</t>
  </si>
  <si>
    <t>tweets</t>
  </si>
  <si>
    <t>birthday</t>
  </si>
  <si>
    <t>ramp</t>
  </si>
  <si>
    <t>cuomo</t>
  </si>
  <si>
    <t>barack</t>
  </si>
  <si>
    <t>series</t>
  </si>
  <si>
    <t>inspiring</t>
  </si>
  <si>
    <t>remarks</t>
  </si>
  <si>
    <t>dems</t>
  </si>
  <si>
    <t>freshman</t>
  </si>
  <si>
    <t>fnc</t>
  </si>
  <si>
    <t>reform</t>
  </si>
  <si>
    <t>law</t>
  </si>
  <si>
    <t>enforcement</t>
  </si>
  <si>
    <t>chaz</t>
  </si>
  <si>
    <t>development</t>
  </si>
  <si>
    <t>alien</t>
  </si>
  <si>
    <t>storming</t>
  </si>
  <si>
    <t>ufo</t>
  </si>
  <si>
    <t>fort</t>
  </si>
  <si>
    <t>gold</t>
  </si>
  <si>
    <t>10</t>
  </si>
  <si>
    <t>fever</t>
  </si>
  <si>
    <t>history</t>
  </si>
  <si>
    <t>jackpot</t>
  </si>
  <si>
    <t>powerball</t>
  </si>
  <si>
    <t>billionaire</t>
  </si>
  <si>
    <t>broke</t>
  </si>
  <si>
    <t>win</t>
  </si>
  <si>
    <t>nuclear</t>
  </si>
  <si>
    <t>weapons</t>
  </si>
  <si>
    <t>feet</t>
  </si>
  <si>
    <t>dream</t>
  </si>
  <si>
    <t>scene</t>
  </si>
  <si>
    <t>airport</t>
  </si>
  <si>
    <t>sale</t>
  </si>
  <si>
    <t>serial</t>
  </si>
  <si>
    <t>true</t>
  </si>
  <si>
    <t>unsolved</t>
  </si>
  <si>
    <t>families</t>
  </si>
  <si>
    <t>rothschild</t>
  </si>
  <si>
    <t>rockefeller</t>
  </si>
  <si>
    <t>richest</t>
  </si>
  <si>
    <t>escape</t>
  </si>
  <si>
    <t>package</t>
  </si>
  <si>
    <t>jong</t>
  </si>
  <si>
    <t>insane</t>
  </si>
  <si>
    <t>amazing</t>
  </si>
  <si>
    <t>2nd</t>
  </si>
  <si>
    <t>airforce</t>
  </si>
  <si>
    <t>reincarnated</t>
  </si>
  <si>
    <t>regression</t>
  </si>
  <si>
    <t>nations</t>
  </si>
  <si>
    <t>glenmark</t>
  </si>
  <si>
    <t>र</t>
  </si>
  <si>
    <t>व</t>
  </si>
  <si>
    <t>adviser</t>
  </si>
  <si>
    <t>martha</t>
  </si>
  <si>
    <t>raddatz</t>
  </si>
  <si>
    <t>happened</t>
  </si>
  <si>
    <t>cov2</t>
  </si>
  <si>
    <t>pulls</t>
  </si>
  <si>
    <t>merkel</t>
  </si>
  <si>
    <t>iran</t>
  </si>
  <si>
    <t>locust</t>
  </si>
  <si>
    <t>visits</t>
  </si>
  <si>
    <t>ntdtv</t>
  </si>
  <si>
    <t>liziqi</t>
  </si>
  <si>
    <t>vlogger</t>
  </si>
  <si>
    <t>risks</t>
  </si>
  <si>
    <t>mac</t>
  </si>
  <si>
    <t>digital</t>
  </si>
  <si>
    <t>project</t>
  </si>
  <si>
    <t>middle</t>
  </si>
  <si>
    <t>ground</t>
  </si>
  <si>
    <t>pro</t>
  </si>
  <si>
    <t>forced</t>
  </si>
  <si>
    <t>dose</t>
  </si>
  <si>
    <t>tucker</t>
  </si>
  <si>
    <t>carlson</t>
  </si>
  <si>
    <t>entertainment</t>
  </si>
  <si>
    <t>personality</t>
  </si>
  <si>
    <t>larry</t>
  </si>
  <si>
    <t>king</t>
  </si>
  <si>
    <t>ora</t>
  </si>
  <si>
    <t>bribe</t>
  </si>
  <si>
    <t>gino</t>
  </si>
  <si>
    <t>jennings</t>
  </si>
  <si>
    <t>pastor</t>
  </si>
  <si>
    <t>pdp</t>
  </si>
  <si>
    <t>voiceless</t>
  </si>
  <si>
    <t>assembly</t>
  </si>
  <si>
    <t>reps</t>
  </si>
  <si>
    <t>animal</t>
  </si>
  <si>
    <t>fiance</t>
  </si>
  <si>
    <t>secret</t>
  </si>
  <si>
    <t>cupp</t>
  </si>
  <si>
    <t>ugochinyere</t>
  </si>
  <si>
    <t>tactics</t>
  </si>
  <si>
    <t>portland</t>
  </si>
  <si>
    <t>gaddafi</t>
  </si>
  <si>
    <t>libya</t>
  </si>
  <si>
    <t>witches</t>
  </si>
  <si>
    <t>movies</t>
  </si>
  <si>
    <t>ninja</t>
  </si>
  <si>
    <t>z650</t>
  </si>
  <si>
    <t>motorcycle</t>
  </si>
  <si>
    <t>mumbiker</t>
  </si>
  <si>
    <t>nikhil</t>
  </si>
  <si>
    <t>shanice</t>
  </si>
  <si>
    <t>shrestha</t>
  </si>
  <si>
    <t>bicycles</t>
  </si>
  <si>
    <t>mamaearth</t>
  </si>
  <si>
    <t>trending</t>
  </si>
  <si>
    <t>helping</t>
  </si>
  <si>
    <t>moto</t>
  </si>
  <si>
    <t>bajaj</t>
  </si>
  <si>
    <t>narmada</t>
  </si>
  <si>
    <t>parikrama</t>
  </si>
  <si>
    <t>hairstyles</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</si>
  <si>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</si>
  <si>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</si>
  <si>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</si>
  <si>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</si>
  <si>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</si>
  <si>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</si>
  <si>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</si>
  <si>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</si>
  <si>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</si>
  <si>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</si>
  <si>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</si>
  <si>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</si>
  <si>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</si>
  <si>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</si>
  <si>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</si>
  <si>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</si>
  <si>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</si>
  <si>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</si>
  <si>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</si>
  <si>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</si>
  <si>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</si>
  <si>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</si>
  <si>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</si>
  <si>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</si>
  <si>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</si>
  <si>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</si>
  <si>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</si>
  <si>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</si>
  <si>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</si>
  <si>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</si>
  <si>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</si>
  <si>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</si>
  <si>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</si>
  <si>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</si>
  <si>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</si>
  <si>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</si>
  <si>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</si>
  <si>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</si>
  <si>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</si>
  <si>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</si>
  <si>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</si>
  <si>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</si>
  <si>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</si>
  <si>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</si>
  <si>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</si>
  <si>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</si>
  <si>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</si>
  <si>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</si>
  <si>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</si>
  <si>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</si>
  <si>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</si>
  <si>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</si>
  <si>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</si>
  <si>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</si>
  <si>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</si>
  <si>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</si>
  <si>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</si>
  <si>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</si>
  <si>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</si>
  <si>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</si>
  <si>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</si>
  <si>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</si>
  <si>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Words in Tags in Entire Graph</t>
  </si>
  <si>
    <t>Entire Graph Count</t>
  </si>
  <si>
    <t>Top Words in Tags in G1</t>
  </si>
  <si>
    <t>Top Words in Tags in G2</t>
  </si>
  <si>
    <t>G1 Count</t>
  </si>
  <si>
    <t>Top Words in Tags in G3</t>
  </si>
  <si>
    <t>G2 Count</t>
  </si>
  <si>
    <t>Top Words in Tags in G4</t>
  </si>
  <si>
    <t>G3 Count</t>
  </si>
  <si>
    <t>Top Words in Tags in G5</t>
  </si>
  <si>
    <t>G4 Count</t>
  </si>
  <si>
    <t>Top Words in Tags in G6</t>
  </si>
  <si>
    <t>G5 Count</t>
  </si>
  <si>
    <t>Top Words in Tags in G7</t>
  </si>
  <si>
    <t>G6 Count</t>
  </si>
  <si>
    <t>Top Words in Tags in G8</t>
  </si>
  <si>
    <t>G7 Count</t>
  </si>
  <si>
    <t>Top Words in Tags in G9</t>
  </si>
  <si>
    <t>G8 Count</t>
  </si>
  <si>
    <t>Top Words in Tags in G10</t>
  </si>
  <si>
    <t>G9 Count</t>
  </si>
  <si>
    <t>G10 Count</t>
  </si>
  <si>
    <t>Top Words in Tags</t>
  </si>
  <si>
    <t>coronavirus news vaccine covid 19 corona nightly morning health nbc</t>
  </si>
  <si>
    <t>coronavirus covid vaccine 19 news virus corona wired pandemic update</t>
  </si>
  <si>
    <t>vaccine singapore stock lee covid summit hsien loong 19 global</t>
  </si>
  <si>
    <t>coronavirus covid news 19 vaccine corona documentary china virus outbreak</t>
  </si>
  <si>
    <t>coronavirus news covid 19 vaccine pandemic corona health update virus</t>
  </si>
  <si>
    <t>bike travel motovlogger ridergirl vlogs girl motovlogs female vishakha lifestyle</t>
  </si>
  <si>
    <t>news nigerian documentary nigeria senate trump antifa china politics vice</t>
  </si>
  <si>
    <t>vaccine social distancing vaccines news health anti vaccination highwireradio medical</t>
  </si>
  <si>
    <t>coronavirus covid 19 infographics pandemic news dark lottery life virus</t>
  </si>
  <si>
    <t>trump news donald president house politics white cnn police fox</t>
  </si>
  <si>
    <t>Top Word Pairs in Tags in Entire Graph</t>
  </si>
  <si>
    <t>covid,19</t>
  </si>
  <si>
    <t>news,news</t>
  </si>
  <si>
    <t>coronavirus,vaccine</t>
  </si>
  <si>
    <t>coronavirus,coronavirus</t>
  </si>
  <si>
    <t>news,coronavirus</t>
  </si>
  <si>
    <t>19,vaccine</t>
  </si>
  <si>
    <t>vaccine,covid</t>
  </si>
  <si>
    <t>coronavirus,covid</t>
  </si>
  <si>
    <t>coronavirus,pandemic</t>
  </si>
  <si>
    <t>vaccine,coronavirus</t>
  </si>
  <si>
    <t>Top Word Pairs in Tags in G1</t>
  </si>
  <si>
    <t>nightly,news</t>
  </si>
  <si>
    <t>trt,trt</t>
  </si>
  <si>
    <t>lester,holt</t>
  </si>
  <si>
    <t>Top Word Pairs in Tags in G2</t>
  </si>
  <si>
    <t>corona,virus</t>
  </si>
  <si>
    <t>christy,risinger</t>
  </si>
  <si>
    <t>Top Word Pairs in Tags in G3</t>
  </si>
  <si>
    <t>lee,hsien</t>
  </si>
  <si>
    <t>hsien,loong</t>
  </si>
  <si>
    <t>vaccine,summit</t>
  </si>
  <si>
    <t>prime,minister</t>
  </si>
  <si>
    <t>global,vaccine</t>
  </si>
  <si>
    <t>loong,singapore</t>
  </si>
  <si>
    <t>gavi,alliance</t>
  </si>
  <si>
    <t>singapore,prime</t>
  </si>
  <si>
    <t>summit,2020</t>
  </si>
  <si>
    <t>Top Word Pairs in Tags in G4</t>
  </si>
  <si>
    <t>coronavirus,news</t>
  </si>
  <si>
    <t>coronavirus,outbreak</t>
  </si>
  <si>
    <t>19,coronavirus</t>
  </si>
  <si>
    <t>vaccine,vaccine</t>
  </si>
  <si>
    <t>Top Word Pairs in Tags in G5</t>
  </si>
  <si>
    <t>george,floyd</t>
  </si>
  <si>
    <t>coronavirus,explained</t>
  </si>
  <si>
    <t>morning,joe</t>
  </si>
  <si>
    <t>Top Word Pairs in Tags in G6</t>
  </si>
  <si>
    <t>motovlogger,female</t>
  </si>
  <si>
    <t>female,motovlogger</t>
  </si>
  <si>
    <t>ridergirl,vishakha</t>
  </si>
  <si>
    <t>motovlogger,ridergirl</t>
  </si>
  <si>
    <t>ridergirl,ridergirl</t>
  </si>
  <si>
    <t>lifestyle,vlogs</t>
  </si>
  <si>
    <t>girl,motovlogs</t>
  </si>
  <si>
    <t>travel,bike</t>
  </si>
  <si>
    <t>rgv,bike</t>
  </si>
  <si>
    <t>bike,motovlogger</t>
  </si>
  <si>
    <t>Top Word Pairs in Tags in G7</t>
  </si>
  <si>
    <t>fox,news</t>
  </si>
  <si>
    <t>nigerian,politics</t>
  </si>
  <si>
    <t>60,minutes</t>
  </si>
  <si>
    <t>donald,trump</t>
  </si>
  <si>
    <t>viable,viabletv</t>
  </si>
  <si>
    <t>viabletv,apc</t>
  </si>
  <si>
    <t>apc,senate</t>
  </si>
  <si>
    <t>senate,senator</t>
  </si>
  <si>
    <t>senator,nigerian</t>
  </si>
  <si>
    <t>nigerian,senate</t>
  </si>
  <si>
    <t>Top Word Pairs in Tags in G8</t>
  </si>
  <si>
    <t>social,distancing</t>
  </si>
  <si>
    <t>vaccines,autism</t>
  </si>
  <si>
    <t>rob,schneider</t>
  </si>
  <si>
    <t>anti,vaccine</t>
  </si>
  <si>
    <t>unstoppable,family</t>
  </si>
  <si>
    <t>larry,king</t>
  </si>
  <si>
    <t>vaccine,anti</t>
  </si>
  <si>
    <t>vaccination,debate</t>
  </si>
  <si>
    <t>debate,vaccines</t>
  </si>
  <si>
    <t>tucker,carlson</t>
  </si>
  <si>
    <t>Top Word Pairs in Tags in G9</t>
  </si>
  <si>
    <t>north,korea</t>
  </si>
  <si>
    <t>19,covid</t>
  </si>
  <si>
    <t>mega,millions</t>
  </si>
  <si>
    <t>global,pandemic</t>
  </si>
  <si>
    <t>dark,dark</t>
  </si>
  <si>
    <t>zodiac,killer</t>
  </si>
  <si>
    <t>lottery,winners</t>
  </si>
  <si>
    <t>Top Word Pairs in Tags in G10</t>
  </si>
  <si>
    <t>white,house</t>
  </si>
  <si>
    <t>president,donald</t>
  </si>
  <si>
    <t>news,happening</t>
  </si>
  <si>
    <t>happening,cnn</t>
  </si>
  <si>
    <t>jim,acosta</t>
  </si>
  <si>
    <t>trump,trump</t>
  </si>
  <si>
    <t>president,trump</t>
  </si>
  <si>
    <t>Top Word Pairs in Tags</t>
  </si>
  <si>
    <t>covid,19  coronavirus,coronavirus  nightly,news  news,news  coronavirus,vaccine  news,coronavirus  trt,trt  vaccine,covid  19,vaccine  lester,holt</t>
  </si>
  <si>
    <t>covid,19  coronavirus,vaccine  vaccine,coronavirus  coronavirus,covid  vaccine,covid  news,news  corona,virus  news,coronavirus  19,vaccine  christy,risinger</t>
  </si>
  <si>
    <t>lee,hsien  hsien,loong  covid,19  vaccine,summit  prime,minister  global,vaccine  loong,singapore  gavi,alliance  singapore,prime  summit,2020</t>
  </si>
  <si>
    <t>covid,19  news,coronavirus  coronavirus,news  coronavirus,coronavirus  coronavirus,vaccine  corona,virus  coronavirus,outbreak  19,coronavirus  19,vaccine  vaccine,vaccine</t>
  </si>
  <si>
    <t>covid,19  news,news  coronavirus,pandemic  george,floyd  19,vaccine  coronavirus,explained  morning,joe  19,coronavirus  coronavirus,vaccine  coronavirus,news</t>
  </si>
  <si>
    <t>motovlogger,female  female,motovlogger  ridergirl,vishakha  motovlogger,ridergirl  ridergirl,ridergirl  lifestyle,vlogs  girl,motovlogs  travel,bike  rgv,bike  bike,motovlogger</t>
  </si>
  <si>
    <t>fox,news  nigerian,politics  60,minutes  donald,trump  viable,viabletv  viabletv,apc  apc,senate  senate,senator  senator,nigerian  nigerian,senate</t>
  </si>
  <si>
    <t>social,distancing  vaccines,autism  rob,schneider  anti,vaccine  unstoppable,family  larry,king  vaccine,anti  vaccination,debate  debate,vaccines  tucker,carlson</t>
  </si>
  <si>
    <t>covid,19  north,korea  19,covid  mega,millions  19,coronavirus  global,pandemic  dark,dark  news,news  zodiac,killer  lottery,winners</t>
  </si>
  <si>
    <t>donald,trump  news,news  white,house  fox,news  president,donald  news,happening  happening,cnn  jim,acosta  trump,trump  president,trump</t>
  </si>
  <si>
    <t>Top Words in Tags by Count</t>
  </si>
  <si>
    <t/>
  </si>
  <si>
    <t>Top Words in Tags by Salience</t>
  </si>
  <si>
    <t>Top Word Pairs in Tags by Count</t>
  </si>
  <si>
    <t>Top Word Pairs in Tags by Salience</t>
  </si>
  <si>
    <t>128, 128, 128</t>
  </si>
  <si>
    <t>G1: coronavirus news vaccine covid 19 corona nightly morning health nbc</t>
  </si>
  <si>
    <t>G2: coronavirus covid vaccine 19 news virus corona wired pandemic update</t>
  </si>
  <si>
    <t>G3: vaccine singapore stock lee covid summit hsien loong 19 global</t>
  </si>
  <si>
    <t>G4: coronavirus covid news 19 vaccine corona documentary china virus outbreak</t>
  </si>
  <si>
    <t>G5: coronavirus news covid 19 vaccine pandemic corona health update virus</t>
  </si>
  <si>
    <t>G6: bike travel motovlogger ridergirl vlogs girl motovlogs female vishakha lifestyle</t>
  </si>
  <si>
    <t>G7: news nigerian documentary nigeria senate trump antifa china politics vice</t>
  </si>
  <si>
    <t>G8: vaccine social distancing vaccines news health anti vaccination highwireradio medical</t>
  </si>
  <si>
    <t>G9: coronavirus covid 19 infographics pandemic news dark lottery life virus</t>
  </si>
  <si>
    <t>G10: trump news donald president house politics white cnn police fox</t>
  </si>
  <si>
    <t>Edge Weight▓1▓1▓0▓True▓Gray▓Red▓▓Edge Weight▓1▓1▓0▓3▓10▓False▓Edge Weight▓1▓1▓0▓50▓20▓False▓▓0▓0▓0▓True▓Black▓Black▓▓Views▓84▓8488180▓0▓80▓1000▓False▓▓0▓0▓0▓0▓0▓False▓▓0▓0▓0▓0▓0▓False▓▓0▓0▓0▓0▓0▓False</t>
  </si>
  <si>
    <t>GraphSource░YouTubeVideo▓GraphTerm░Vaccination▓ImportDescription░The graph represents the network of YouTube videos whose title, keywords, description, categories, or author's username contain "Vaccination".  The network was obtained from YouTube on Friday, 26 June 2020 at 10:39 UTC.
The network was limited to 20 videos.
There is an edge for each pair of videos that have the same category.▓ImportSuggestedTitle░YouTube Video Vaccination▓ImportSuggestedFileNameNoExtension░2020-06-26 10-39-07 NodeXL YouTube Video Vaccination▓GroupingDescription░The graph's vertices were grouped by cluster using the Clauset-Newman-Moore cluster algorithm.▓LayoutAlgorithm░The graph was laid out using the Harel-Koren Fast Multiscale layout algorithm.▓GraphDirectedness░The graph is directed.</t>
  </si>
  <si>
    <t>YouTubeVideo</t>
  </si>
  <si>
    <t>Vaccination</t>
  </si>
  <si>
    <t>The graph represents the network of YouTube videos whose title, keywords, description, categories, or author's username contain "Vaccination".  The network was obtained from YouTube on Friday, 26 June 2020 at 10:39 UTC.
The network was limited to 20 videos.
There is an edge for each pair of videos that have the same category.</t>
  </si>
  <si>
    <t>The graph was laid out using the Harel-Koren Fast Multiscale layout algorithm.</t>
  </si>
  <si>
    <t>The graph's vertices were grouped by cluster using the Clauset-Newman-Moore cluster algorithm.</t>
  </si>
  <si>
    <t>https://nodexlgraphgallery.org/Pages/Graph.aspx?graphID=229925</t>
  </si>
  <si>
    <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</si>
</sst>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10" fillId="0" borderId="0" xfId="28"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0"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231">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30"/>
      <tableStyleElement type="headerRow" dxfId="229"/>
    </tableStyle>
    <tableStyle name="NodeXL Table" pivot="0" count="1">
      <tableStyleElement type="headerRow" dxfId="2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2934837"/>
        <c:axId val="5086942"/>
      </c:barChart>
      <c:catAx>
        <c:axId val="22934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86942"/>
        <c:crosses val="autoZero"/>
        <c:auto val="1"/>
        <c:lblOffset val="100"/>
        <c:noMultiLvlLbl val="0"/>
      </c:catAx>
      <c:valAx>
        <c:axId val="50869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934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5782479"/>
        <c:axId val="9389128"/>
      </c:barChart>
      <c:catAx>
        <c:axId val="4578247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389128"/>
        <c:crosses val="autoZero"/>
        <c:auto val="1"/>
        <c:lblOffset val="100"/>
        <c:noMultiLvlLbl val="0"/>
      </c:catAx>
      <c:valAx>
        <c:axId val="93891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824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393289"/>
        <c:axId val="22321874"/>
      </c:barChart>
      <c:catAx>
        <c:axId val="173932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2321874"/>
        <c:crosses val="autoZero"/>
        <c:auto val="1"/>
        <c:lblOffset val="100"/>
        <c:noMultiLvlLbl val="0"/>
      </c:catAx>
      <c:valAx>
        <c:axId val="22321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9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66679139"/>
        <c:axId val="63241340"/>
      </c:barChart>
      <c:catAx>
        <c:axId val="6667913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3241340"/>
        <c:crosses val="autoZero"/>
        <c:auto val="1"/>
        <c:lblOffset val="100"/>
        <c:noMultiLvlLbl val="0"/>
      </c:catAx>
      <c:valAx>
        <c:axId val="6324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6791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2301149"/>
        <c:axId val="22274886"/>
      </c:barChart>
      <c:catAx>
        <c:axId val="323011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274886"/>
        <c:crosses val="autoZero"/>
        <c:auto val="1"/>
        <c:lblOffset val="100"/>
        <c:noMultiLvlLbl val="0"/>
      </c:catAx>
      <c:valAx>
        <c:axId val="222748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3011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6256247"/>
        <c:axId val="59435312"/>
      </c:barChart>
      <c:catAx>
        <c:axId val="6625624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435312"/>
        <c:crosses val="autoZero"/>
        <c:auto val="1"/>
        <c:lblOffset val="100"/>
        <c:noMultiLvlLbl val="0"/>
      </c:catAx>
      <c:valAx>
        <c:axId val="594353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2562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5155761"/>
        <c:axId val="49530938"/>
      </c:barChart>
      <c:catAx>
        <c:axId val="651557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9530938"/>
        <c:crosses val="autoZero"/>
        <c:auto val="1"/>
        <c:lblOffset val="100"/>
        <c:noMultiLvlLbl val="0"/>
      </c:catAx>
      <c:valAx>
        <c:axId val="495309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1557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3125259"/>
        <c:axId val="52583012"/>
      </c:barChart>
      <c:catAx>
        <c:axId val="431252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583012"/>
        <c:crosses val="autoZero"/>
        <c:auto val="1"/>
        <c:lblOffset val="100"/>
        <c:noMultiLvlLbl val="0"/>
      </c:catAx>
      <c:valAx>
        <c:axId val="52583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5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85061"/>
        <c:axId val="31365550"/>
      </c:barChart>
      <c:catAx>
        <c:axId val="3485061"/>
        <c:scaling>
          <c:orientation val="minMax"/>
        </c:scaling>
        <c:axPos val="b"/>
        <c:delete val="1"/>
        <c:majorTickMark val="out"/>
        <c:minorTickMark val="none"/>
        <c:tickLblPos val="none"/>
        <c:crossAx val="31365550"/>
        <c:crosses val="autoZero"/>
        <c:auto val="1"/>
        <c:lblOffset val="100"/>
        <c:noMultiLvlLbl val="0"/>
      </c:catAx>
      <c:valAx>
        <c:axId val="31365550"/>
        <c:scaling>
          <c:orientation val="minMax"/>
        </c:scaling>
        <c:axPos val="l"/>
        <c:delete val="1"/>
        <c:majorTickMark val="out"/>
        <c:minorTickMark val="none"/>
        <c:tickLblPos val="none"/>
        <c:crossAx val="34850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AA402" totalsRowShown="0" headerRowDxfId="227" dataDxfId="191">
  <autoFilter ref="A2:AA402"/>
  <tableColumns count="27">
    <tableColumn id="1" name="Vertex 1" dataDxfId="176"/>
    <tableColumn id="2" name="Vertex 2" dataDxfId="174"/>
    <tableColumn id="3" name="Color" dataDxfId="175"/>
    <tableColumn id="4" name="Width" dataDxfId="200"/>
    <tableColumn id="11" name="Style" dataDxfId="199"/>
    <tableColumn id="5" name="Opacity" dataDxfId="198"/>
    <tableColumn id="6" name="Visibility" dataDxfId="197"/>
    <tableColumn id="10" name="Label" dataDxfId="196"/>
    <tableColumn id="12" name="Label Text Color" dataDxfId="195"/>
    <tableColumn id="13" name="Label Font Size" dataDxfId="194"/>
    <tableColumn id="14" name="Reciprocated?" dataDxfId="131"/>
    <tableColumn id="7" name="ID" dataDxfId="193"/>
    <tableColumn id="9" name="Dynamic Filter" dataDxfId="192"/>
    <tableColumn id="8" name="Add Your Own Columns Here" dataDxfId="173"/>
    <tableColumn id="15" name="Relationship" dataDxfId="172"/>
    <tableColumn id="16" name="Edge Weight"/>
    <tableColumn id="17" name="Vertex 1 Group" dataDxfId="146">
      <calculatedColumnFormula>REPLACE(INDEX(GroupVertices[Group], MATCH(Edges[[#This Row],[Vertex 1]],GroupVertices[Vertex],0)),1,1,"")</calculatedColumnFormula>
    </tableColumn>
    <tableColumn id="18" name="Vertex 2 Group" dataDxfId="107">
      <calculatedColumnFormula>REPLACE(INDEX(GroupVertices[Group], MATCH(Edges[[#This Row],[Vertex 2]],GroupVertices[Vertex],0)),1,1,"")</calculatedColumnFormula>
    </tableColumn>
    <tableColumn id="19" name="Sentiment List #1: List1 Word Count" dataDxfId="106"/>
    <tableColumn id="20" name="Sentiment List #1: List1 Word Percentage (%)" dataDxfId="105"/>
    <tableColumn id="21" name="Sentiment List #2: List2 Word Count" dataDxfId="104"/>
    <tableColumn id="22" name="Sentiment List #2: List2 Word Percentage (%)" dataDxfId="103"/>
    <tableColumn id="23" name="Sentiment List #3: List3 Word Count" dataDxfId="102"/>
    <tableColumn id="24" name="Sentiment List #3: List3 Word Percentage (%)" dataDxfId="101"/>
    <tableColumn id="25" name="Non-categorized Word Count" dataDxfId="100"/>
    <tableColumn id="26" name="Non-categorized Word Percentage (%)" dataDxfId="99"/>
    <tableColumn id="27" name="Edge Content Word Count" dataDxfId="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82" totalsRowShown="0" headerRowDxfId="130" dataDxfId="129">
  <autoFilter ref="A1:G1882"/>
  <tableColumns count="7">
    <tableColumn id="1" name="Word" dataDxfId="128"/>
    <tableColumn id="2" name="Count" dataDxfId="127"/>
    <tableColumn id="3" name="Salience" dataDxfId="126"/>
    <tableColumn id="4" name="Group" dataDxfId="125"/>
    <tableColumn id="5" name="Word on Sentiment List #1: List1" dataDxfId="124"/>
    <tableColumn id="6" name="Word on Sentiment List #2: List2" dataDxfId="123"/>
    <tableColumn id="7" name="Word on Sentiment List #3: List3" dataDxfId="1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23" totalsRowShown="0" headerRowDxfId="121" dataDxfId="120">
  <autoFilter ref="A1:L1823"/>
  <tableColumns count="12">
    <tableColumn id="1" name="Word 1" dataDxfId="119"/>
    <tableColumn id="2" name="Word 2" dataDxfId="118"/>
    <tableColumn id="3" name="Count" dataDxfId="117"/>
    <tableColumn id="4" name="Salience" dataDxfId="116"/>
    <tableColumn id="5" name="Mutual Information" dataDxfId="115"/>
    <tableColumn id="6" name="Group" dataDxfId="114"/>
    <tableColumn id="7" name="Word1 on Sentiment List #1: List1" dataDxfId="113"/>
    <tableColumn id="8" name="Word1 on Sentiment List #2: List2" dataDxfId="112"/>
    <tableColumn id="9" name="Word1 on Sentiment List #3: List3" dataDxfId="111"/>
    <tableColumn id="10" name="Word2 on Sentiment List #1: List1" dataDxfId="110"/>
    <tableColumn id="11" name="Word2 on Sentiment List #2: List2" dataDxfId="109"/>
    <tableColumn id="12" name="Word2 on Sentiment List #3: List3" dataDxfId="108"/>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36" totalsRowShown="0" headerRowDxfId="79" dataDxfId="78">
  <autoFilter ref="A2:C36"/>
  <tableColumns count="3">
    <tableColumn id="1" name="Group 1" dataDxfId="77"/>
    <tableColumn id="2" name="Group 2" dataDxfId="76"/>
    <tableColumn id="3" name="Edges" dataDxfId="75"/>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72" dataDxfId="71">
  <autoFilter ref="A1:B7"/>
  <tableColumns count="2">
    <tableColumn id="1" name="Key" dataDxfId="57"/>
    <tableColumn id="2" name="Value" dataDxfId="56"/>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61" dataDxfId="60">
  <autoFilter ref="A1:B11"/>
  <tableColumns count="2">
    <tableColumn id="1" name="Top 10 Vertices, Ranked by Betweenness Centrality" dataDxfId="59"/>
    <tableColumn id="2" name="Betweenness Centrality" dataDxfId="58"/>
  </tableColumns>
  <tableStyleInfo name="NodeXL Table" showFirstColumn="0" showLastColumn="0" showRowStripes="1" showColumnStripes="0"/>
</table>
</file>

<file path=xl/tables/table16.xml><?xml version="1.0" encoding="utf-8"?>
<table xmlns="http://schemas.openxmlformats.org/spreadsheetml/2006/main" id="16" name="NetworkTopItems_1" displayName="NetworkTopItems_1" ref="A1:V11" totalsRowShown="0" headerRowDxfId="55" dataDxfId="54">
  <autoFilter ref="A1:V11"/>
  <tableColumns count="22">
    <tableColumn id="1" name="Top Words in Tags in Entire Graph" dataDxfId="53"/>
    <tableColumn id="2" name="Entire Graph Count" dataDxfId="52"/>
    <tableColumn id="3" name="Top Words in Tags in G1" dataDxfId="51"/>
    <tableColumn id="4" name="G1 Count" dataDxfId="50"/>
    <tableColumn id="5" name="Top Words in Tags in G2" dataDxfId="49"/>
    <tableColumn id="6" name="G2 Count" dataDxfId="48"/>
    <tableColumn id="7" name="Top Words in Tags in G3" dataDxfId="47"/>
    <tableColumn id="8" name="G3 Count" dataDxfId="46"/>
    <tableColumn id="9" name="Top Words in Tags in G4" dataDxfId="45"/>
    <tableColumn id="10" name="G4 Count" dataDxfId="44"/>
    <tableColumn id="11" name="Top Words in Tags in G5" dataDxfId="43"/>
    <tableColumn id="12" name="G5 Count" dataDxfId="42"/>
    <tableColumn id="13" name="Top Words in Tags in G6" dataDxfId="41"/>
    <tableColumn id="14" name="G6 Count" dataDxfId="40"/>
    <tableColumn id="15" name="Top Words in Tags in G7" dataDxfId="39"/>
    <tableColumn id="16" name="G7 Count" dataDxfId="38"/>
    <tableColumn id="17" name="Top Words in Tags in G8" dataDxfId="37"/>
    <tableColumn id="18" name="G8 Count" dataDxfId="36"/>
    <tableColumn id="19" name="Top Words in Tags in G9" dataDxfId="35"/>
    <tableColumn id="20" name="G9 Count" dataDxfId="34"/>
    <tableColumn id="21" name="Top Words in Tags in G10" dataDxfId="33"/>
    <tableColumn id="22" name="G10 Count" dataDxfId="32"/>
  </tableColumns>
  <tableStyleInfo name="NodeXL Table" showFirstColumn="0" showLastColumn="0" showRowStripes="1" showColumnStripes="0"/>
</table>
</file>

<file path=xl/tables/table17.xml><?xml version="1.0" encoding="utf-8"?>
<table xmlns="http://schemas.openxmlformats.org/spreadsheetml/2006/main" id="17" name="NetworkTopItems_2" displayName="NetworkTopItems_2" ref="A14:V24" totalsRowShown="0" headerRowDxfId="30" dataDxfId="29">
  <autoFilter ref="A14:V24"/>
  <tableColumns count="22">
    <tableColumn id="1" name="Top Word Pairs in Tags in Entire Graph" dataDxfId="28"/>
    <tableColumn id="2" name="Entire Graph Count" dataDxfId="27"/>
    <tableColumn id="3" name="Top Word Pairs in Tags in G1" dataDxfId="26"/>
    <tableColumn id="4" name="G1 Count" dataDxfId="25"/>
    <tableColumn id="5" name="Top Word Pairs in Tags in G2" dataDxfId="24"/>
    <tableColumn id="6" name="G2 Count" dataDxfId="23"/>
    <tableColumn id="7" name="Top Word Pairs in Tags in G3" dataDxfId="22"/>
    <tableColumn id="8" name="G3 Count" dataDxfId="21"/>
    <tableColumn id="9" name="Top Word Pairs in Tags in G4" dataDxfId="20"/>
    <tableColumn id="10" name="G4 Count" dataDxfId="19"/>
    <tableColumn id="11" name="Top Word Pairs in Tags in G5" dataDxfId="18"/>
    <tableColumn id="12" name="G5 Count" dataDxfId="17"/>
    <tableColumn id="13" name="Top Word Pairs in Tags in G6" dataDxfId="16"/>
    <tableColumn id="14" name="G6 Count" dataDxfId="15"/>
    <tableColumn id="15" name="Top Word Pairs in Tags in G7" dataDxfId="14"/>
    <tableColumn id="16" name="G7 Count" dataDxfId="13"/>
    <tableColumn id="17" name="Top Word Pairs in Tags in G8" dataDxfId="12"/>
    <tableColumn id="18" name="G8 Count" dataDxfId="11"/>
    <tableColumn id="19" name="Top Word Pairs in Tags in G9" dataDxfId="10"/>
    <tableColumn id="20" name="G9 Count" dataDxfId="9"/>
    <tableColumn id="21" name="Top Word Pairs in Tags in G10" dataDxfId="8"/>
    <tableColumn id="22" name="G10 Count" dataDxfId="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B282" totalsRowShown="0" headerRowDxfId="226" dataDxfId="177">
  <autoFilter ref="A2:BB282"/>
  <tableColumns count="54">
    <tableColumn id="1" name="Vertex" dataDxfId="190"/>
    <tableColumn id="2" name="Color" dataDxfId="189"/>
    <tableColumn id="5" name="Shape" dataDxfId="188"/>
    <tableColumn id="6" name="Size" dataDxfId="187"/>
    <tableColumn id="4" name="Opacity" dataDxfId="159"/>
    <tableColumn id="7" name="Image File" dataDxfId="157"/>
    <tableColumn id="3" name="Visibility" dataDxfId="158"/>
    <tableColumn id="10" name="Label" dataDxfId="186"/>
    <tableColumn id="16" name="Label Fill Color" dataDxfId="185"/>
    <tableColumn id="9" name="Label Position" dataDxfId="171"/>
    <tableColumn id="8" name="Tooltip" dataDxfId="169"/>
    <tableColumn id="18" name="Layout Order" dataDxfId="170"/>
    <tableColumn id="13" name="X" dataDxfId="184"/>
    <tableColumn id="14" name="Y" dataDxfId="183"/>
    <tableColumn id="12" name="Locked?" dataDxfId="182"/>
    <tableColumn id="19" name="Polar R" dataDxfId="181"/>
    <tableColumn id="20" name="Polar Angle" dataDxfId="180"/>
    <tableColumn id="21" name="Degree" dataDxfId="68"/>
    <tableColumn id="22" name="In-Degree" dataDxfId="67"/>
    <tableColumn id="23" name="Out-Degree" dataDxfId="65"/>
    <tableColumn id="24" name="Betweenness Centrality" dataDxfId="66"/>
    <tableColumn id="25" name="Closeness Centrality" dataDxfId="70"/>
    <tableColumn id="26" name="Eigenvector Centrality" dataDxfId="69"/>
    <tableColumn id="15" name="PageRank" dataDxfId="64"/>
    <tableColumn id="27" name="Clustering Coefficient" dataDxfId="62"/>
    <tableColumn id="29" name="Reciprocated Vertex Pair Ratio" dataDxfId="63"/>
    <tableColumn id="11" name="ID" dataDxfId="179"/>
    <tableColumn id="28" name="Dynamic Filter" dataDxfId="178"/>
    <tableColumn id="17" name="Add Your Own Columns Here" dataDxfId="168"/>
    <tableColumn id="30" name="Title" dataDxfId="167"/>
    <tableColumn id="31" name="Description" dataDxfId="166"/>
    <tableColumn id="32" name="Tags" dataDxfId="165"/>
    <tableColumn id="33" name="Author" dataDxfId="164"/>
    <tableColumn id="34" name="Created Date (UTC)" dataDxfId="163"/>
    <tableColumn id="35" name="Views" dataDxfId="162"/>
    <tableColumn id="36" name="Comments" dataDxfId="161"/>
    <tableColumn id="37" name="Likes Count" dataDxfId="160"/>
    <tableColumn id="38" name="Dislikes Count" dataDxfId="156"/>
    <tableColumn id="39" name="Custom Menu Item Text" dataDxfId="155"/>
    <tableColumn id="40" name="Custom Menu Item Action" dataDxfId="147"/>
    <tableColumn id="41" name="Vertex Group" dataDxfId="97">
      <calculatedColumnFormula>REPLACE(INDEX(GroupVertices[Group], MATCH(Vertices[[#This Row],[Vertex]],GroupVertices[Vertex],0)),1,1,"")</calculatedColumnFormula>
    </tableColumn>
    <tableColumn id="42" name="Sentiment List #1: List1 Word Count" dataDxfId="96"/>
    <tableColumn id="43" name="Sentiment List #1: List1 Word Percentage (%)" dataDxfId="95"/>
    <tableColumn id="44" name="Sentiment List #2: List2 Word Count" dataDxfId="94"/>
    <tableColumn id="45" name="Sentiment List #2: List2 Word Percentage (%)" dataDxfId="93"/>
    <tableColumn id="46" name="Sentiment List #3: List3 Word Count" dataDxfId="92"/>
    <tableColumn id="47" name="Sentiment List #3: List3 Word Percentage (%)" dataDxfId="91"/>
    <tableColumn id="48" name="Non-categorized Word Count" dataDxfId="90"/>
    <tableColumn id="49" name="Non-categorized Word Percentage (%)" dataDxfId="89"/>
    <tableColumn id="50" name="Vertex Content Word Count" dataDxfId="4"/>
    <tableColumn id="51" name="Top Words in Tags by Count" dataDxfId="3"/>
    <tableColumn id="52" name="Top Words in Tags by Salience" dataDxfId="2"/>
    <tableColumn id="53" name="Top Word Pairs in Tags by Count" dataDxfId="1"/>
    <tableColumn id="54" name="Top Word Pairs in Tags by Salience"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I12" totalsRowShown="0" headerRowDxfId="225">
  <autoFilter ref="A2:AI12"/>
  <tableColumns count="35">
    <tableColumn id="1" name="Group" dataDxfId="154"/>
    <tableColumn id="2" name="Vertex Color" dataDxfId="153"/>
    <tableColumn id="3" name="Vertex Shape" dataDxfId="151"/>
    <tableColumn id="22" name="Visibility" dataDxfId="152"/>
    <tableColumn id="4" name="Collapsed?"/>
    <tableColumn id="18" name="Label" dataDxfId="224"/>
    <tableColumn id="20" name="Collapsed X"/>
    <tableColumn id="21" name="Collapsed Y"/>
    <tableColumn id="6" name="ID" dataDxfId="223"/>
    <tableColumn id="19" name="Collapsed Properties" dataDxfId="145"/>
    <tableColumn id="5" name="Vertices" dataDxfId="144"/>
    <tableColumn id="7" name="Unique Edges" dataDxfId="143"/>
    <tableColumn id="8" name="Edges With Duplicates" dataDxfId="142"/>
    <tableColumn id="9" name="Total Edges" dataDxfId="141"/>
    <tableColumn id="10" name="Self-Loops" dataDxfId="140"/>
    <tableColumn id="24" name="Reciprocated Vertex Pair Ratio" dataDxfId="139"/>
    <tableColumn id="25" name="Reciprocated Edge Ratio" dataDxfId="138"/>
    <tableColumn id="11" name="Connected Components" dataDxfId="137"/>
    <tableColumn id="12" name="Single-Vertex Connected Components" dataDxfId="136"/>
    <tableColumn id="13" name="Maximum Vertices in a Connected Component" dataDxfId="135"/>
    <tableColumn id="14" name="Maximum Edges in a Connected Component" dataDxfId="134"/>
    <tableColumn id="15" name="Maximum Geodesic Distance (Diameter)" dataDxfId="133"/>
    <tableColumn id="16" name="Average Geodesic Distance" dataDxfId="132"/>
    <tableColumn id="17" name="Graph Density" dataDxfId="88"/>
    <tableColumn id="23" name="Sentiment List #1: List1 Word Count" dataDxfId="87"/>
    <tableColumn id="26" name="Sentiment List #1: List1 Word Percentage (%)" dataDxfId="86"/>
    <tableColumn id="27" name="Sentiment List #2: List2 Word Count" dataDxfId="85"/>
    <tableColumn id="28" name="Sentiment List #2: List2 Word Percentage (%)" dataDxfId="84"/>
    <tableColumn id="29" name="Sentiment List #3: List3 Word Count" dataDxfId="83"/>
    <tableColumn id="30" name="Sentiment List #3: List3 Word Percentage (%)" dataDxfId="82"/>
    <tableColumn id="31" name="Non-categorized Word Count" dataDxfId="81"/>
    <tableColumn id="32" name="Non-categorized Word Percentage (%)" dataDxfId="80"/>
    <tableColumn id="33" name="Group Content Word Count" dataDxfId="31"/>
    <tableColumn id="34" name="Top Words in Tags" dataDxfId="6"/>
    <tableColumn id="35" name="Top Word Pairs in Tags" dataDxfId="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1" totalsRowShown="0" headerRowDxfId="222" dataDxfId="221">
  <autoFilter ref="A1:C281"/>
  <tableColumns count="3">
    <tableColumn id="1" name="Group" dataDxfId="150"/>
    <tableColumn id="2" name="Vertex" dataDxfId="149"/>
    <tableColumn id="3" name="Vertex ID" dataDxfId="1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74"/>
    <tableColumn id="2" name="Value" dataDxfId="7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20"/>
    <tableColumn id="2" name="Degree Frequency" dataDxfId="219">
      <calculatedColumnFormula>COUNTIF(Vertices[Degree], "&gt;= " &amp; D2) - COUNTIF(Vertices[Degree], "&gt;=" &amp; D3)</calculatedColumnFormula>
    </tableColumn>
    <tableColumn id="3" name="In-Degree Bin" dataDxfId="218"/>
    <tableColumn id="4" name="In-Degree Frequency" dataDxfId="217">
      <calculatedColumnFormula>COUNTIF(Vertices[In-Degree], "&gt;= " &amp; F2) - COUNTIF(Vertices[In-Degree], "&gt;=" &amp; F3)</calculatedColumnFormula>
    </tableColumn>
    <tableColumn id="5" name="Out-Degree Bin" dataDxfId="216"/>
    <tableColumn id="6" name="Out-Degree Frequency" dataDxfId="215">
      <calculatedColumnFormula>COUNTIF(Vertices[Out-Degree], "&gt;= " &amp; H2) - COUNTIF(Vertices[Out-Degree], "&gt;=" &amp; H3)</calculatedColumnFormula>
    </tableColumn>
    <tableColumn id="7" name="Betweenness Centrality Bin" dataDxfId="214"/>
    <tableColumn id="8" name="Betweenness Centrality Frequency" dataDxfId="213">
      <calculatedColumnFormula>COUNTIF(Vertices[Betweenness Centrality], "&gt;= " &amp; J2) - COUNTIF(Vertices[Betweenness Centrality], "&gt;=" &amp; J3)</calculatedColumnFormula>
    </tableColumn>
    <tableColumn id="9" name="Closeness Centrality Bin" dataDxfId="212"/>
    <tableColumn id="10" name="Closeness Centrality Frequency" dataDxfId="211">
      <calculatedColumnFormula>COUNTIF(Vertices[Closeness Centrality], "&gt;= " &amp; L2) - COUNTIF(Vertices[Closeness Centrality], "&gt;=" &amp; L3)</calculatedColumnFormula>
    </tableColumn>
    <tableColumn id="11" name="Eigenvector Centrality Bin" dataDxfId="210"/>
    <tableColumn id="12" name="Eigenvector Centrality Frequency" dataDxfId="209">
      <calculatedColumnFormula>COUNTIF(Vertices[Eigenvector Centrality], "&gt;= " &amp; N2) - COUNTIF(Vertices[Eigenvector Centrality], "&gt;=" &amp; N3)</calculatedColumnFormula>
    </tableColumn>
    <tableColumn id="18" name="PageRank Bin" dataDxfId="208"/>
    <tableColumn id="17" name="PageRank Frequency" dataDxfId="207">
      <calculatedColumnFormula>COUNTIF(Vertices[Eigenvector Centrality], "&gt;= " &amp; P2) - COUNTIF(Vertices[Eigenvector Centrality], "&gt;=" &amp; P3)</calculatedColumnFormula>
    </tableColumn>
    <tableColumn id="13" name="Clustering Coefficient Bin" dataDxfId="206"/>
    <tableColumn id="14" name="Clustering Coefficient Frequency" dataDxfId="205">
      <calculatedColumnFormula>COUNTIF(Vertices[Clustering Coefficient], "&gt;= " &amp; R2) - COUNTIF(Vertices[Clustering Coefficient], "&gt;=" &amp; R3)</calculatedColumnFormula>
    </tableColumn>
    <tableColumn id="15" name="Dynamic Filter Bin" dataDxfId="204"/>
    <tableColumn id="16" name="Dynamic Filter Frequency" dataDxfId="20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 Id="rId2" Type="http://schemas.openxmlformats.org/officeDocument/2006/relationships/table" Target="../tables/table17.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402"/>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customWidth="1"/>
    <col min="17" max="18" width="11.140625" style="0" bestFit="1" customWidth="1"/>
    <col min="19" max="19" width="19.7109375" style="0" bestFit="1" customWidth="1"/>
    <col min="20" max="20" width="24.28125" style="0" bestFit="1" customWidth="1"/>
    <col min="21" max="21" width="19.7109375" style="0" bestFit="1" customWidth="1"/>
    <col min="22" max="22" width="24.28125" style="0" bestFit="1" customWidth="1"/>
    <col min="23" max="23" width="19.7109375" style="0" bestFit="1" customWidth="1"/>
    <col min="24" max="24" width="24.28125" style="0" bestFit="1" customWidth="1"/>
    <col min="25" max="25" width="18.57421875" style="0" bestFit="1" customWidth="1"/>
    <col min="26" max="26" width="22.28125" style="0" bestFit="1" customWidth="1"/>
    <col min="27" max="27" width="15.7109375" style="0" bestFit="1" customWidth="1"/>
  </cols>
  <sheetData>
    <row r="1" spans="3:14" ht="15">
      <c r="C1" s="16" t="s">
        <v>39</v>
      </c>
      <c r="D1" s="17"/>
      <c r="E1" s="17"/>
      <c r="F1" s="17"/>
      <c r="G1" s="16"/>
      <c r="H1" s="14" t="s">
        <v>43</v>
      </c>
      <c r="I1" s="50"/>
      <c r="J1" s="50"/>
      <c r="K1" s="33" t="s">
        <v>42</v>
      </c>
      <c r="L1" s="18" t="s">
        <v>40</v>
      </c>
      <c r="M1" s="18"/>
      <c r="N1" s="15" t="s">
        <v>41</v>
      </c>
    </row>
    <row r="2" spans="1:27"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213</v>
      </c>
      <c r="P2" t="s">
        <v>1706</v>
      </c>
      <c r="Q2" s="13" t="s">
        <v>1728</v>
      </c>
      <c r="R2" s="13" t="s">
        <v>1729</v>
      </c>
      <c r="S2" s="52" t="s">
        <v>2572</v>
      </c>
      <c r="T2" s="52" t="s">
        <v>2573</v>
      </c>
      <c r="U2" s="52" t="s">
        <v>2574</v>
      </c>
      <c r="V2" s="52" t="s">
        <v>2575</v>
      </c>
      <c r="W2" s="52" t="s">
        <v>2576</v>
      </c>
      <c r="X2" s="52" t="s">
        <v>2577</v>
      </c>
      <c r="Y2" s="52" t="s">
        <v>2578</v>
      </c>
      <c r="Z2" s="52" t="s">
        <v>2579</v>
      </c>
      <c r="AA2" s="52" t="s">
        <v>2580</v>
      </c>
    </row>
    <row r="3" spans="1:27" ht="15" customHeight="1">
      <c r="A3" s="65" t="s">
        <v>214</v>
      </c>
      <c r="B3" s="65" t="s">
        <v>493</v>
      </c>
      <c r="C3" s="66" t="s">
        <v>2751</v>
      </c>
      <c r="D3" s="67">
        <v>3</v>
      </c>
      <c r="E3" s="68"/>
      <c r="F3" s="69">
        <v>50</v>
      </c>
      <c r="G3" s="66"/>
      <c r="H3" s="70"/>
      <c r="I3" s="71"/>
      <c r="J3" s="71"/>
      <c r="K3" s="34" t="s">
        <v>65</v>
      </c>
      <c r="L3" s="72">
        <v>3</v>
      </c>
      <c r="M3" s="72"/>
      <c r="N3" s="73"/>
      <c r="O3" s="88" t="s">
        <v>494</v>
      </c>
      <c r="P3">
        <v>1</v>
      </c>
      <c r="Q3" s="88" t="str">
        <f>REPLACE(INDEX(GroupVertices[Group],MATCH(Edges[[#This Row],[Vertex 1]],GroupVertices[Vertex],0)),1,1,"")</f>
        <v>3</v>
      </c>
      <c r="R3" s="88" t="str">
        <f>REPLACE(INDEX(GroupVertices[Group],MATCH(Edges[[#This Row],[Vertex 2]],GroupVertices[Vertex],0)),1,1,"")</f>
        <v>3</v>
      </c>
      <c r="S3" s="34"/>
      <c r="T3" s="34"/>
      <c r="U3" s="34"/>
      <c r="V3" s="34"/>
      <c r="W3" s="34"/>
      <c r="X3" s="34"/>
      <c r="Y3" s="34"/>
      <c r="Z3" s="34"/>
      <c r="AA3" s="34"/>
    </row>
    <row r="4" spans="1:27" ht="15" customHeight="1">
      <c r="A4" s="65" t="s">
        <v>214</v>
      </c>
      <c r="B4" s="65" t="s">
        <v>234</v>
      </c>
      <c r="C4" s="66" t="s">
        <v>2751</v>
      </c>
      <c r="D4" s="67">
        <v>3</v>
      </c>
      <c r="E4" s="68"/>
      <c r="F4" s="69">
        <v>50</v>
      </c>
      <c r="G4" s="66"/>
      <c r="H4" s="70"/>
      <c r="I4" s="71"/>
      <c r="J4" s="71"/>
      <c r="K4" s="34" t="s">
        <v>65</v>
      </c>
      <c r="L4" s="78">
        <v>4</v>
      </c>
      <c r="M4" s="78"/>
      <c r="N4" s="73"/>
      <c r="O4" s="89" t="s">
        <v>494</v>
      </c>
      <c r="P4">
        <v>1</v>
      </c>
      <c r="Q4" s="88" t="str">
        <f>REPLACE(INDEX(GroupVertices[Group],MATCH(Edges[[#This Row],[Vertex 1]],GroupVertices[Vertex],0)),1,1,"")</f>
        <v>3</v>
      </c>
      <c r="R4" s="88" t="str">
        <f>REPLACE(INDEX(GroupVertices[Group],MATCH(Edges[[#This Row],[Vertex 2]],GroupVertices[Vertex],0)),1,1,"")</f>
        <v>3</v>
      </c>
      <c r="S4" s="34"/>
      <c r="T4" s="34"/>
      <c r="U4" s="34"/>
      <c r="V4" s="34"/>
      <c r="W4" s="34"/>
      <c r="X4" s="34"/>
      <c r="Y4" s="34"/>
      <c r="Z4" s="34"/>
      <c r="AA4" s="34"/>
    </row>
    <row r="5" spans="1:27" ht="15">
      <c r="A5" s="65" t="s">
        <v>214</v>
      </c>
      <c r="B5" s="65" t="s">
        <v>235</v>
      </c>
      <c r="C5" s="66" t="s">
        <v>2751</v>
      </c>
      <c r="D5" s="67">
        <v>3</v>
      </c>
      <c r="E5" s="68"/>
      <c r="F5" s="69">
        <v>50</v>
      </c>
      <c r="G5" s="66"/>
      <c r="H5" s="70"/>
      <c r="I5" s="71"/>
      <c r="J5" s="71"/>
      <c r="K5" s="34" t="s">
        <v>65</v>
      </c>
      <c r="L5" s="78">
        <v>5</v>
      </c>
      <c r="M5" s="78"/>
      <c r="N5" s="73"/>
      <c r="O5" s="89" t="s">
        <v>494</v>
      </c>
      <c r="P5">
        <v>1</v>
      </c>
      <c r="Q5" s="88" t="str">
        <f>REPLACE(INDEX(GroupVertices[Group],MATCH(Edges[[#This Row],[Vertex 1]],GroupVertices[Vertex],0)),1,1,"")</f>
        <v>3</v>
      </c>
      <c r="R5" s="88" t="str">
        <f>REPLACE(INDEX(GroupVertices[Group],MATCH(Edges[[#This Row],[Vertex 2]],GroupVertices[Vertex],0)),1,1,"")</f>
        <v>3</v>
      </c>
      <c r="S5" s="34"/>
      <c r="T5" s="34"/>
      <c r="U5" s="34"/>
      <c r="V5" s="34"/>
      <c r="W5" s="34"/>
      <c r="X5" s="34"/>
      <c r="Y5" s="34"/>
      <c r="Z5" s="34"/>
      <c r="AA5" s="34"/>
    </row>
    <row r="6" spans="1:27" ht="15">
      <c r="A6" s="65" t="s">
        <v>214</v>
      </c>
      <c r="B6" s="65" t="s">
        <v>236</v>
      </c>
      <c r="C6" s="66" t="s">
        <v>2751</v>
      </c>
      <c r="D6" s="67">
        <v>3</v>
      </c>
      <c r="E6" s="68"/>
      <c r="F6" s="69">
        <v>50</v>
      </c>
      <c r="G6" s="66"/>
      <c r="H6" s="70"/>
      <c r="I6" s="71"/>
      <c r="J6" s="71"/>
      <c r="K6" s="34" t="s">
        <v>65</v>
      </c>
      <c r="L6" s="78">
        <v>6</v>
      </c>
      <c r="M6" s="78"/>
      <c r="N6" s="73"/>
      <c r="O6" s="89" t="s">
        <v>494</v>
      </c>
      <c r="P6">
        <v>1</v>
      </c>
      <c r="Q6" s="88" t="str">
        <f>REPLACE(INDEX(GroupVertices[Group],MATCH(Edges[[#This Row],[Vertex 1]],GroupVertices[Vertex],0)),1,1,"")</f>
        <v>3</v>
      </c>
      <c r="R6" s="88" t="str">
        <f>REPLACE(INDEX(GroupVertices[Group],MATCH(Edges[[#This Row],[Vertex 2]],GroupVertices[Vertex],0)),1,1,"")</f>
        <v>3</v>
      </c>
      <c r="S6" s="34"/>
      <c r="T6" s="34"/>
      <c r="U6" s="34"/>
      <c r="V6" s="34"/>
      <c r="W6" s="34"/>
      <c r="X6" s="34"/>
      <c r="Y6" s="34"/>
      <c r="Z6" s="34"/>
      <c r="AA6" s="34"/>
    </row>
    <row r="7" spans="1:27" ht="15">
      <c r="A7" s="65" t="s">
        <v>214</v>
      </c>
      <c r="B7" s="65" t="s">
        <v>237</v>
      </c>
      <c r="C7" s="66" t="s">
        <v>2751</v>
      </c>
      <c r="D7" s="67">
        <v>3</v>
      </c>
      <c r="E7" s="68"/>
      <c r="F7" s="69">
        <v>50</v>
      </c>
      <c r="G7" s="66"/>
      <c r="H7" s="70"/>
      <c r="I7" s="71"/>
      <c r="J7" s="71"/>
      <c r="K7" s="34" t="s">
        <v>65</v>
      </c>
      <c r="L7" s="78">
        <v>7</v>
      </c>
      <c r="M7" s="78"/>
      <c r="N7" s="73"/>
      <c r="O7" s="89" t="s">
        <v>494</v>
      </c>
      <c r="P7">
        <v>1</v>
      </c>
      <c r="Q7" s="88" t="str">
        <f>REPLACE(INDEX(GroupVertices[Group],MATCH(Edges[[#This Row],[Vertex 1]],GroupVertices[Vertex],0)),1,1,"")</f>
        <v>3</v>
      </c>
      <c r="R7" s="88" t="str">
        <f>REPLACE(INDEX(GroupVertices[Group],MATCH(Edges[[#This Row],[Vertex 2]],GroupVertices[Vertex],0)),1,1,"")</f>
        <v>3</v>
      </c>
      <c r="S7" s="34"/>
      <c r="T7" s="34"/>
      <c r="U7" s="34"/>
      <c r="V7" s="34"/>
      <c r="W7" s="34"/>
      <c r="X7" s="34"/>
      <c r="Y7" s="34"/>
      <c r="Z7" s="34"/>
      <c r="AA7" s="34"/>
    </row>
    <row r="8" spans="1:27" ht="15">
      <c r="A8" s="65" t="s">
        <v>214</v>
      </c>
      <c r="B8" s="65" t="s">
        <v>238</v>
      </c>
      <c r="C8" s="66" t="s">
        <v>2751</v>
      </c>
      <c r="D8" s="67">
        <v>3</v>
      </c>
      <c r="E8" s="68"/>
      <c r="F8" s="69">
        <v>50</v>
      </c>
      <c r="G8" s="66"/>
      <c r="H8" s="70"/>
      <c r="I8" s="71"/>
      <c r="J8" s="71"/>
      <c r="K8" s="34" t="s">
        <v>65</v>
      </c>
      <c r="L8" s="78">
        <v>8</v>
      </c>
      <c r="M8" s="78"/>
      <c r="N8" s="73"/>
      <c r="O8" s="89" t="s">
        <v>494</v>
      </c>
      <c r="P8">
        <v>1</v>
      </c>
      <c r="Q8" s="88" t="str">
        <f>REPLACE(INDEX(GroupVertices[Group],MATCH(Edges[[#This Row],[Vertex 1]],GroupVertices[Vertex],0)),1,1,"")</f>
        <v>3</v>
      </c>
      <c r="R8" s="88" t="str">
        <f>REPLACE(INDEX(GroupVertices[Group],MATCH(Edges[[#This Row],[Vertex 2]],GroupVertices[Vertex],0)),1,1,"")</f>
        <v>3</v>
      </c>
      <c r="S8" s="34"/>
      <c r="T8" s="34"/>
      <c r="U8" s="34"/>
      <c r="V8" s="34"/>
      <c r="W8" s="34"/>
      <c r="X8" s="34"/>
      <c r="Y8" s="34"/>
      <c r="Z8" s="34"/>
      <c r="AA8" s="34"/>
    </row>
    <row r="9" spans="1:27" ht="15">
      <c r="A9" s="65" t="s">
        <v>214</v>
      </c>
      <c r="B9" s="65" t="s">
        <v>239</v>
      </c>
      <c r="C9" s="66" t="s">
        <v>2751</v>
      </c>
      <c r="D9" s="67">
        <v>3</v>
      </c>
      <c r="E9" s="68"/>
      <c r="F9" s="69">
        <v>50</v>
      </c>
      <c r="G9" s="66"/>
      <c r="H9" s="70"/>
      <c r="I9" s="71"/>
      <c r="J9" s="71"/>
      <c r="K9" s="34" t="s">
        <v>65</v>
      </c>
      <c r="L9" s="78">
        <v>9</v>
      </c>
      <c r="M9" s="78"/>
      <c r="N9" s="73"/>
      <c r="O9" s="89" t="s">
        <v>494</v>
      </c>
      <c r="P9">
        <v>1</v>
      </c>
      <c r="Q9" s="88" t="str">
        <f>REPLACE(INDEX(GroupVertices[Group],MATCH(Edges[[#This Row],[Vertex 1]],GroupVertices[Vertex],0)),1,1,"")</f>
        <v>3</v>
      </c>
      <c r="R9" s="88" t="str">
        <f>REPLACE(INDEX(GroupVertices[Group],MATCH(Edges[[#This Row],[Vertex 2]],GroupVertices[Vertex],0)),1,1,"")</f>
        <v>3</v>
      </c>
      <c r="S9" s="34"/>
      <c r="T9" s="34"/>
      <c r="U9" s="34"/>
      <c r="V9" s="34"/>
      <c r="W9" s="34"/>
      <c r="X9" s="34"/>
      <c r="Y9" s="34"/>
      <c r="Z9" s="34"/>
      <c r="AA9" s="34"/>
    </row>
    <row r="10" spans="1:27" ht="15">
      <c r="A10" s="65" t="s">
        <v>214</v>
      </c>
      <c r="B10" s="65" t="s">
        <v>240</v>
      </c>
      <c r="C10" s="66" t="s">
        <v>2751</v>
      </c>
      <c r="D10" s="67">
        <v>3</v>
      </c>
      <c r="E10" s="68"/>
      <c r="F10" s="69">
        <v>50</v>
      </c>
      <c r="G10" s="66"/>
      <c r="H10" s="70"/>
      <c r="I10" s="71"/>
      <c r="J10" s="71"/>
      <c r="K10" s="34" t="s">
        <v>65</v>
      </c>
      <c r="L10" s="78">
        <v>10</v>
      </c>
      <c r="M10" s="78"/>
      <c r="N10" s="73"/>
      <c r="O10" s="89" t="s">
        <v>494</v>
      </c>
      <c r="P10">
        <v>1</v>
      </c>
      <c r="Q10" s="88" t="str">
        <f>REPLACE(INDEX(GroupVertices[Group],MATCH(Edges[[#This Row],[Vertex 1]],GroupVertices[Vertex],0)),1,1,"")</f>
        <v>3</v>
      </c>
      <c r="R10" s="88" t="str">
        <f>REPLACE(INDEX(GroupVertices[Group],MATCH(Edges[[#This Row],[Vertex 2]],GroupVertices[Vertex],0)),1,1,"")</f>
        <v>3</v>
      </c>
      <c r="S10" s="34"/>
      <c r="T10" s="34"/>
      <c r="U10" s="34"/>
      <c r="V10" s="34"/>
      <c r="W10" s="34"/>
      <c r="X10" s="34"/>
      <c r="Y10" s="34"/>
      <c r="Z10" s="34"/>
      <c r="AA10" s="34"/>
    </row>
    <row r="11" spans="1:27" ht="15">
      <c r="A11" s="65" t="s">
        <v>214</v>
      </c>
      <c r="B11" s="65" t="s">
        <v>241</v>
      </c>
      <c r="C11" s="66" t="s">
        <v>2751</v>
      </c>
      <c r="D11" s="67">
        <v>3</v>
      </c>
      <c r="E11" s="68"/>
      <c r="F11" s="69">
        <v>50</v>
      </c>
      <c r="G11" s="66"/>
      <c r="H11" s="70"/>
      <c r="I11" s="71"/>
      <c r="J11" s="71"/>
      <c r="K11" s="34" t="s">
        <v>65</v>
      </c>
      <c r="L11" s="78">
        <v>11</v>
      </c>
      <c r="M11" s="78"/>
      <c r="N11" s="73"/>
      <c r="O11" s="89" t="s">
        <v>494</v>
      </c>
      <c r="P11">
        <v>1</v>
      </c>
      <c r="Q11" s="88" t="str">
        <f>REPLACE(INDEX(GroupVertices[Group],MATCH(Edges[[#This Row],[Vertex 1]],GroupVertices[Vertex],0)),1,1,"")</f>
        <v>3</v>
      </c>
      <c r="R11" s="88" t="str">
        <f>REPLACE(INDEX(GroupVertices[Group],MATCH(Edges[[#This Row],[Vertex 2]],GroupVertices[Vertex],0)),1,1,"")</f>
        <v>3</v>
      </c>
      <c r="S11" s="34"/>
      <c r="T11" s="34"/>
      <c r="U11" s="34"/>
      <c r="V11" s="34"/>
      <c r="W11" s="34"/>
      <c r="X11" s="34"/>
      <c r="Y11" s="34"/>
      <c r="Z11" s="34"/>
      <c r="AA11" s="34"/>
    </row>
    <row r="12" spans="1:27" ht="15">
      <c r="A12" s="65" t="s">
        <v>214</v>
      </c>
      <c r="B12" s="65" t="s">
        <v>242</v>
      </c>
      <c r="C12" s="66" t="s">
        <v>2751</v>
      </c>
      <c r="D12" s="67">
        <v>3</v>
      </c>
      <c r="E12" s="68"/>
      <c r="F12" s="69">
        <v>50</v>
      </c>
      <c r="G12" s="66"/>
      <c r="H12" s="70"/>
      <c r="I12" s="71"/>
      <c r="J12" s="71"/>
      <c r="K12" s="34" t="s">
        <v>65</v>
      </c>
      <c r="L12" s="78">
        <v>12</v>
      </c>
      <c r="M12" s="78"/>
      <c r="N12" s="73"/>
      <c r="O12" s="89" t="s">
        <v>494</v>
      </c>
      <c r="P12">
        <v>1</v>
      </c>
      <c r="Q12" s="88" t="str">
        <f>REPLACE(INDEX(GroupVertices[Group],MATCH(Edges[[#This Row],[Vertex 1]],GroupVertices[Vertex],0)),1,1,"")</f>
        <v>3</v>
      </c>
      <c r="R12" s="88" t="str">
        <f>REPLACE(INDEX(GroupVertices[Group],MATCH(Edges[[#This Row],[Vertex 2]],GroupVertices[Vertex],0)),1,1,"")</f>
        <v>3</v>
      </c>
      <c r="S12" s="34"/>
      <c r="T12" s="34"/>
      <c r="U12" s="34"/>
      <c r="V12" s="34"/>
      <c r="W12" s="34"/>
      <c r="X12" s="34"/>
      <c r="Y12" s="34"/>
      <c r="Z12" s="34"/>
      <c r="AA12" s="34"/>
    </row>
    <row r="13" spans="1:27" ht="15">
      <c r="A13" s="65" t="s">
        <v>214</v>
      </c>
      <c r="B13" s="65" t="s">
        <v>243</v>
      </c>
      <c r="C13" s="66" t="s">
        <v>2751</v>
      </c>
      <c r="D13" s="67">
        <v>3</v>
      </c>
      <c r="E13" s="68"/>
      <c r="F13" s="69">
        <v>50</v>
      </c>
      <c r="G13" s="66"/>
      <c r="H13" s="70"/>
      <c r="I13" s="71"/>
      <c r="J13" s="71"/>
      <c r="K13" s="34" t="s">
        <v>65</v>
      </c>
      <c r="L13" s="78">
        <v>13</v>
      </c>
      <c r="M13" s="78"/>
      <c r="N13" s="73"/>
      <c r="O13" s="89" t="s">
        <v>494</v>
      </c>
      <c r="P13">
        <v>1</v>
      </c>
      <c r="Q13" s="88" t="str">
        <f>REPLACE(INDEX(GroupVertices[Group],MATCH(Edges[[#This Row],[Vertex 1]],GroupVertices[Vertex],0)),1,1,"")</f>
        <v>3</v>
      </c>
      <c r="R13" s="88" t="str">
        <f>REPLACE(INDEX(GroupVertices[Group],MATCH(Edges[[#This Row],[Vertex 2]],GroupVertices[Vertex],0)),1,1,"")</f>
        <v>3</v>
      </c>
      <c r="S13" s="34"/>
      <c r="T13" s="34"/>
      <c r="U13" s="34"/>
      <c r="V13" s="34"/>
      <c r="W13" s="34"/>
      <c r="X13" s="34"/>
      <c r="Y13" s="34"/>
      <c r="Z13" s="34"/>
      <c r="AA13" s="34"/>
    </row>
    <row r="14" spans="1:27" ht="15">
      <c r="A14" s="65" t="s">
        <v>214</v>
      </c>
      <c r="B14" s="65" t="s">
        <v>244</v>
      </c>
      <c r="C14" s="66" t="s">
        <v>2751</v>
      </c>
      <c r="D14" s="67">
        <v>3</v>
      </c>
      <c r="E14" s="68"/>
      <c r="F14" s="69">
        <v>50</v>
      </c>
      <c r="G14" s="66"/>
      <c r="H14" s="70"/>
      <c r="I14" s="71"/>
      <c r="J14" s="71"/>
      <c r="K14" s="34" t="s">
        <v>65</v>
      </c>
      <c r="L14" s="78">
        <v>14</v>
      </c>
      <c r="M14" s="78"/>
      <c r="N14" s="73"/>
      <c r="O14" s="89" t="s">
        <v>494</v>
      </c>
      <c r="P14">
        <v>1</v>
      </c>
      <c r="Q14" s="88" t="str">
        <f>REPLACE(INDEX(GroupVertices[Group],MATCH(Edges[[#This Row],[Vertex 1]],GroupVertices[Vertex],0)),1,1,"")</f>
        <v>3</v>
      </c>
      <c r="R14" s="88" t="str">
        <f>REPLACE(INDEX(GroupVertices[Group],MATCH(Edges[[#This Row],[Vertex 2]],GroupVertices[Vertex],0)),1,1,"")</f>
        <v>3</v>
      </c>
      <c r="S14" s="34"/>
      <c r="T14" s="34"/>
      <c r="U14" s="34"/>
      <c r="V14" s="34"/>
      <c r="W14" s="34"/>
      <c r="X14" s="34"/>
      <c r="Y14" s="34"/>
      <c r="Z14" s="34"/>
      <c r="AA14" s="34"/>
    </row>
    <row r="15" spans="1:27" ht="15">
      <c r="A15" s="65" t="s">
        <v>214</v>
      </c>
      <c r="B15" s="65" t="s">
        <v>245</v>
      </c>
      <c r="C15" s="66" t="s">
        <v>2751</v>
      </c>
      <c r="D15" s="67">
        <v>3</v>
      </c>
      <c r="E15" s="68"/>
      <c r="F15" s="69">
        <v>50</v>
      </c>
      <c r="G15" s="66"/>
      <c r="H15" s="70"/>
      <c r="I15" s="71"/>
      <c r="J15" s="71"/>
      <c r="K15" s="34" t="s">
        <v>65</v>
      </c>
      <c r="L15" s="78">
        <v>15</v>
      </c>
      <c r="M15" s="78"/>
      <c r="N15" s="73"/>
      <c r="O15" s="89" t="s">
        <v>494</v>
      </c>
      <c r="P15">
        <v>1</v>
      </c>
      <c r="Q15" s="88" t="str">
        <f>REPLACE(INDEX(GroupVertices[Group],MATCH(Edges[[#This Row],[Vertex 1]],GroupVertices[Vertex],0)),1,1,"")</f>
        <v>3</v>
      </c>
      <c r="R15" s="88" t="str">
        <f>REPLACE(INDEX(GroupVertices[Group],MATCH(Edges[[#This Row],[Vertex 2]],GroupVertices[Vertex],0)),1,1,"")</f>
        <v>3</v>
      </c>
      <c r="S15" s="34"/>
      <c r="T15" s="34"/>
      <c r="U15" s="34"/>
      <c r="V15" s="34"/>
      <c r="W15" s="34"/>
      <c r="X15" s="34"/>
      <c r="Y15" s="34"/>
      <c r="Z15" s="34"/>
      <c r="AA15" s="34"/>
    </row>
    <row r="16" spans="1:27" ht="15">
      <c r="A16" s="65" t="s">
        <v>214</v>
      </c>
      <c r="B16" s="65" t="s">
        <v>215</v>
      </c>
      <c r="C16" s="66" t="s">
        <v>2751</v>
      </c>
      <c r="D16" s="67">
        <v>3</v>
      </c>
      <c r="E16" s="68"/>
      <c r="F16" s="69">
        <v>50</v>
      </c>
      <c r="G16" s="66"/>
      <c r="H16" s="70"/>
      <c r="I16" s="71"/>
      <c r="J16" s="71"/>
      <c r="K16" s="34" t="s">
        <v>65</v>
      </c>
      <c r="L16" s="78">
        <v>16</v>
      </c>
      <c r="M16" s="78"/>
      <c r="N16" s="73"/>
      <c r="O16" s="89" t="s">
        <v>494</v>
      </c>
      <c r="P16">
        <v>1</v>
      </c>
      <c r="Q16" s="88" t="str">
        <f>REPLACE(INDEX(GroupVertices[Group],MATCH(Edges[[#This Row],[Vertex 1]],GroupVertices[Vertex],0)),1,1,"")</f>
        <v>3</v>
      </c>
      <c r="R16" s="88" t="str">
        <f>REPLACE(INDEX(GroupVertices[Group],MATCH(Edges[[#This Row],[Vertex 2]],GroupVertices[Vertex],0)),1,1,"")</f>
        <v>5</v>
      </c>
      <c r="S16" s="34"/>
      <c r="T16" s="34"/>
      <c r="U16" s="34"/>
      <c r="V16" s="34"/>
      <c r="W16" s="34"/>
      <c r="X16" s="34"/>
      <c r="Y16" s="34"/>
      <c r="Z16" s="34"/>
      <c r="AA16" s="34"/>
    </row>
    <row r="17" spans="1:27" ht="15">
      <c r="A17" s="65" t="s">
        <v>214</v>
      </c>
      <c r="B17" s="65" t="s">
        <v>246</v>
      </c>
      <c r="C17" s="66" t="s">
        <v>2751</v>
      </c>
      <c r="D17" s="67">
        <v>3</v>
      </c>
      <c r="E17" s="68"/>
      <c r="F17" s="69">
        <v>50</v>
      </c>
      <c r="G17" s="66"/>
      <c r="H17" s="70"/>
      <c r="I17" s="71"/>
      <c r="J17" s="71"/>
      <c r="K17" s="34" t="s">
        <v>65</v>
      </c>
      <c r="L17" s="78">
        <v>17</v>
      </c>
      <c r="M17" s="78"/>
      <c r="N17" s="73"/>
      <c r="O17" s="89" t="s">
        <v>494</v>
      </c>
      <c r="P17">
        <v>1</v>
      </c>
      <c r="Q17" s="88" t="str">
        <f>REPLACE(INDEX(GroupVertices[Group],MATCH(Edges[[#This Row],[Vertex 1]],GroupVertices[Vertex],0)),1,1,"")</f>
        <v>3</v>
      </c>
      <c r="R17" s="88" t="str">
        <f>REPLACE(INDEX(GroupVertices[Group],MATCH(Edges[[#This Row],[Vertex 2]],GroupVertices[Vertex],0)),1,1,"")</f>
        <v>7</v>
      </c>
      <c r="S17" s="34"/>
      <c r="T17" s="34"/>
      <c r="U17" s="34"/>
      <c r="V17" s="34"/>
      <c r="W17" s="34"/>
      <c r="X17" s="34"/>
      <c r="Y17" s="34"/>
      <c r="Z17" s="34"/>
      <c r="AA17" s="34"/>
    </row>
    <row r="18" spans="1:27" ht="15">
      <c r="A18" s="65" t="s">
        <v>214</v>
      </c>
      <c r="B18" s="65" t="s">
        <v>247</v>
      </c>
      <c r="C18" s="66" t="s">
        <v>2751</v>
      </c>
      <c r="D18" s="67">
        <v>3</v>
      </c>
      <c r="E18" s="68"/>
      <c r="F18" s="69">
        <v>50</v>
      </c>
      <c r="G18" s="66"/>
      <c r="H18" s="70"/>
      <c r="I18" s="71"/>
      <c r="J18" s="71"/>
      <c r="K18" s="34" t="s">
        <v>65</v>
      </c>
      <c r="L18" s="78">
        <v>18</v>
      </c>
      <c r="M18" s="78"/>
      <c r="N18" s="73"/>
      <c r="O18" s="89" t="s">
        <v>494</v>
      </c>
      <c r="P18">
        <v>1</v>
      </c>
      <c r="Q18" s="88" t="str">
        <f>REPLACE(INDEX(GroupVertices[Group],MATCH(Edges[[#This Row],[Vertex 1]],GroupVertices[Vertex],0)),1,1,"")</f>
        <v>3</v>
      </c>
      <c r="R18" s="88" t="str">
        <f>REPLACE(INDEX(GroupVertices[Group],MATCH(Edges[[#This Row],[Vertex 2]],GroupVertices[Vertex],0)),1,1,"")</f>
        <v>3</v>
      </c>
      <c r="S18" s="34"/>
      <c r="T18" s="34"/>
      <c r="U18" s="34"/>
      <c r="V18" s="34"/>
      <c r="W18" s="34"/>
      <c r="X18" s="34"/>
      <c r="Y18" s="34"/>
      <c r="Z18" s="34"/>
      <c r="AA18" s="34"/>
    </row>
    <row r="19" spans="1:27" ht="15">
      <c r="A19" s="65" t="s">
        <v>214</v>
      </c>
      <c r="B19" s="65" t="s">
        <v>248</v>
      </c>
      <c r="C19" s="66" t="s">
        <v>2751</v>
      </c>
      <c r="D19" s="67">
        <v>3</v>
      </c>
      <c r="E19" s="68"/>
      <c r="F19" s="69">
        <v>50</v>
      </c>
      <c r="G19" s="66"/>
      <c r="H19" s="70"/>
      <c r="I19" s="71"/>
      <c r="J19" s="71"/>
      <c r="K19" s="34" t="s">
        <v>65</v>
      </c>
      <c r="L19" s="78">
        <v>19</v>
      </c>
      <c r="M19" s="78"/>
      <c r="N19" s="73"/>
      <c r="O19" s="89" t="s">
        <v>494</v>
      </c>
      <c r="P19">
        <v>1</v>
      </c>
      <c r="Q19" s="88" t="str">
        <f>REPLACE(INDEX(GroupVertices[Group],MATCH(Edges[[#This Row],[Vertex 1]],GroupVertices[Vertex],0)),1,1,"")</f>
        <v>3</v>
      </c>
      <c r="R19" s="88" t="str">
        <f>REPLACE(INDEX(GroupVertices[Group],MATCH(Edges[[#This Row],[Vertex 2]],GroupVertices[Vertex],0)),1,1,"")</f>
        <v>5</v>
      </c>
      <c r="S19" s="34"/>
      <c r="T19" s="34"/>
      <c r="U19" s="34"/>
      <c r="V19" s="34"/>
      <c r="W19" s="34"/>
      <c r="X19" s="34"/>
      <c r="Y19" s="34"/>
      <c r="Z19" s="34"/>
      <c r="AA19" s="34"/>
    </row>
    <row r="20" spans="1:27" ht="15">
      <c r="A20" s="65" t="s">
        <v>214</v>
      </c>
      <c r="B20" s="65" t="s">
        <v>216</v>
      </c>
      <c r="C20" s="66" t="s">
        <v>2751</v>
      </c>
      <c r="D20" s="67">
        <v>3</v>
      </c>
      <c r="E20" s="68"/>
      <c r="F20" s="69">
        <v>50</v>
      </c>
      <c r="G20" s="66"/>
      <c r="H20" s="70"/>
      <c r="I20" s="71"/>
      <c r="J20" s="71"/>
      <c r="K20" s="34" t="s">
        <v>65</v>
      </c>
      <c r="L20" s="78">
        <v>20</v>
      </c>
      <c r="M20" s="78"/>
      <c r="N20" s="73"/>
      <c r="O20" s="89" t="s">
        <v>494</v>
      </c>
      <c r="P20">
        <v>1</v>
      </c>
      <c r="Q20" s="88" t="str">
        <f>REPLACE(INDEX(GroupVertices[Group],MATCH(Edges[[#This Row],[Vertex 1]],GroupVertices[Vertex],0)),1,1,"")</f>
        <v>3</v>
      </c>
      <c r="R20" s="88" t="str">
        <f>REPLACE(INDEX(GroupVertices[Group],MATCH(Edges[[#This Row],[Vertex 2]],GroupVertices[Vertex],0)),1,1,"")</f>
        <v>3</v>
      </c>
      <c r="S20" s="34"/>
      <c r="T20" s="34"/>
      <c r="U20" s="34"/>
      <c r="V20" s="34"/>
      <c r="W20" s="34"/>
      <c r="X20" s="34"/>
      <c r="Y20" s="34"/>
      <c r="Z20" s="34"/>
      <c r="AA20" s="34"/>
    </row>
    <row r="21" spans="1:27" ht="15">
      <c r="A21" s="65" t="s">
        <v>214</v>
      </c>
      <c r="B21" s="65" t="s">
        <v>218</v>
      </c>
      <c r="C21" s="66" t="s">
        <v>2751</v>
      </c>
      <c r="D21" s="67">
        <v>3</v>
      </c>
      <c r="E21" s="68"/>
      <c r="F21" s="69">
        <v>50</v>
      </c>
      <c r="G21" s="66"/>
      <c r="H21" s="70"/>
      <c r="I21" s="71"/>
      <c r="J21" s="71"/>
      <c r="K21" s="34" t="s">
        <v>65</v>
      </c>
      <c r="L21" s="78">
        <v>21</v>
      </c>
      <c r="M21" s="78"/>
      <c r="N21" s="73"/>
      <c r="O21" s="89" t="s">
        <v>494</v>
      </c>
      <c r="P21">
        <v>1</v>
      </c>
      <c r="Q21" s="88" t="str">
        <f>REPLACE(INDEX(GroupVertices[Group],MATCH(Edges[[#This Row],[Vertex 1]],GroupVertices[Vertex],0)),1,1,"")</f>
        <v>3</v>
      </c>
      <c r="R21" s="88" t="str">
        <f>REPLACE(INDEX(GroupVertices[Group],MATCH(Edges[[#This Row],[Vertex 2]],GroupVertices[Vertex],0)),1,1,"")</f>
        <v>2</v>
      </c>
      <c r="S21" s="34"/>
      <c r="T21" s="34"/>
      <c r="U21" s="34"/>
      <c r="V21" s="34"/>
      <c r="W21" s="34"/>
      <c r="X21" s="34"/>
      <c r="Y21" s="34"/>
      <c r="Z21" s="34"/>
      <c r="AA21" s="34"/>
    </row>
    <row r="22" spans="1:27" ht="15">
      <c r="A22" s="65" t="s">
        <v>214</v>
      </c>
      <c r="B22" s="65" t="s">
        <v>249</v>
      </c>
      <c r="C22" s="66" t="s">
        <v>2751</v>
      </c>
      <c r="D22" s="67">
        <v>3</v>
      </c>
      <c r="E22" s="68"/>
      <c r="F22" s="69">
        <v>50</v>
      </c>
      <c r="G22" s="66"/>
      <c r="H22" s="70"/>
      <c r="I22" s="71"/>
      <c r="J22" s="71"/>
      <c r="K22" s="34" t="s">
        <v>65</v>
      </c>
      <c r="L22" s="78">
        <v>22</v>
      </c>
      <c r="M22" s="78"/>
      <c r="N22" s="73"/>
      <c r="O22" s="89" t="s">
        <v>494</v>
      </c>
      <c r="P22">
        <v>1</v>
      </c>
      <c r="Q22" s="88" t="str">
        <f>REPLACE(INDEX(GroupVertices[Group],MATCH(Edges[[#This Row],[Vertex 1]],GroupVertices[Vertex],0)),1,1,"")</f>
        <v>3</v>
      </c>
      <c r="R22" s="88" t="str">
        <f>REPLACE(INDEX(GroupVertices[Group],MATCH(Edges[[#This Row],[Vertex 2]],GroupVertices[Vertex],0)),1,1,"")</f>
        <v>3</v>
      </c>
      <c r="S22" s="34"/>
      <c r="T22" s="34"/>
      <c r="U22" s="34"/>
      <c r="V22" s="34"/>
      <c r="W22" s="34"/>
      <c r="X22" s="34"/>
      <c r="Y22" s="34"/>
      <c r="Z22" s="34"/>
      <c r="AA22" s="34"/>
    </row>
    <row r="23" spans="1:27" ht="15">
      <c r="A23" s="65" t="s">
        <v>215</v>
      </c>
      <c r="B23" s="65" t="s">
        <v>250</v>
      </c>
      <c r="C23" s="66" t="s">
        <v>2751</v>
      </c>
      <c r="D23" s="67">
        <v>3</v>
      </c>
      <c r="E23" s="68"/>
      <c r="F23" s="69">
        <v>50</v>
      </c>
      <c r="G23" s="66"/>
      <c r="H23" s="70"/>
      <c r="I23" s="71"/>
      <c r="J23" s="71"/>
      <c r="K23" s="34" t="s">
        <v>65</v>
      </c>
      <c r="L23" s="78">
        <v>23</v>
      </c>
      <c r="M23" s="78"/>
      <c r="N23" s="73"/>
      <c r="O23" s="89" t="s">
        <v>494</v>
      </c>
      <c r="P23">
        <v>1</v>
      </c>
      <c r="Q23" s="88" t="str">
        <f>REPLACE(INDEX(GroupVertices[Group],MATCH(Edges[[#This Row],[Vertex 1]],GroupVertices[Vertex],0)),1,1,"")</f>
        <v>5</v>
      </c>
      <c r="R23" s="88" t="str">
        <f>REPLACE(INDEX(GroupVertices[Group],MATCH(Edges[[#This Row],[Vertex 2]],GroupVertices[Vertex],0)),1,1,"")</f>
        <v>5</v>
      </c>
      <c r="S23" s="34"/>
      <c r="T23" s="34"/>
      <c r="U23" s="34"/>
      <c r="V23" s="34"/>
      <c r="W23" s="34"/>
      <c r="X23" s="34"/>
      <c r="Y23" s="34"/>
      <c r="Z23" s="34"/>
      <c r="AA23" s="34"/>
    </row>
    <row r="24" spans="1:27" ht="15">
      <c r="A24" s="65" t="s">
        <v>215</v>
      </c>
      <c r="B24" s="65" t="s">
        <v>251</v>
      </c>
      <c r="C24" s="66" t="s">
        <v>2751</v>
      </c>
      <c r="D24" s="67">
        <v>3</v>
      </c>
      <c r="E24" s="68"/>
      <c r="F24" s="69">
        <v>50</v>
      </c>
      <c r="G24" s="66"/>
      <c r="H24" s="70"/>
      <c r="I24" s="71"/>
      <c r="J24" s="71"/>
      <c r="K24" s="34" t="s">
        <v>65</v>
      </c>
      <c r="L24" s="78">
        <v>24</v>
      </c>
      <c r="M24" s="78"/>
      <c r="N24" s="73"/>
      <c r="O24" s="89" t="s">
        <v>494</v>
      </c>
      <c r="P24">
        <v>1</v>
      </c>
      <c r="Q24" s="88" t="str">
        <f>REPLACE(INDEX(GroupVertices[Group],MATCH(Edges[[#This Row],[Vertex 1]],GroupVertices[Vertex],0)),1,1,"")</f>
        <v>5</v>
      </c>
      <c r="R24" s="88" t="str">
        <f>REPLACE(INDEX(GroupVertices[Group],MATCH(Edges[[#This Row],[Vertex 2]],GroupVertices[Vertex],0)),1,1,"")</f>
        <v>5</v>
      </c>
      <c r="S24" s="34"/>
      <c r="T24" s="34"/>
      <c r="U24" s="34"/>
      <c r="V24" s="34"/>
      <c r="W24" s="34"/>
      <c r="X24" s="34"/>
      <c r="Y24" s="34"/>
      <c r="Z24" s="34"/>
      <c r="AA24" s="34"/>
    </row>
    <row r="25" spans="1:27" ht="15">
      <c r="A25" s="65" t="s">
        <v>215</v>
      </c>
      <c r="B25" s="65" t="s">
        <v>252</v>
      </c>
      <c r="C25" s="66" t="s">
        <v>2751</v>
      </c>
      <c r="D25" s="67">
        <v>3</v>
      </c>
      <c r="E25" s="68"/>
      <c r="F25" s="69">
        <v>50</v>
      </c>
      <c r="G25" s="66"/>
      <c r="H25" s="70"/>
      <c r="I25" s="71"/>
      <c r="J25" s="71"/>
      <c r="K25" s="34" t="s">
        <v>65</v>
      </c>
      <c r="L25" s="78">
        <v>25</v>
      </c>
      <c r="M25" s="78"/>
      <c r="N25" s="73"/>
      <c r="O25" s="89" t="s">
        <v>494</v>
      </c>
      <c r="P25">
        <v>1</v>
      </c>
      <c r="Q25" s="88" t="str">
        <f>REPLACE(INDEX(GroupVertices[Group],MATCH(Edges[[#This Row],[Vertex 1]],GroupVertices[Vertex],0)),1,1,"")</f>
        <v>5</v>
      </c>
      <c r="R25" s="88" t="str">
        <f>REPLACE(INDEX(GroupVertices[Group],MATCH(Edges[[#This Row],[Vertex 2]],GroupVertices[Vertex],0)),1,1,"")</f>
        <v>5</v>
      </c>
      <c r="S25" s="34"/>
      <c r="T25" s="34"/>
      <c r="U25" s="34"/>
      <c r="V25" s="34"/>
      <c r="W25" s="34"/>
      <c r="X25" s="34"/>
      <c r="Y25" s="34"/>
      <c r="Z25" s="34"/>
      <c r="AA25" s="34"/>
    </row>
    <row r="26" spans="1:27" ht="15">
      <c r="A26" s="65" t="s">
        <v>215</v>
      </c>
      <c r="B26" s="65" t="s">
        <v>253</v>
      </c>
      <c r="C26" s="66" t="s">
        <v>2751</v>
      </c>
      <c r="D26" s="67">
        <v>3</v>
      </c>
      <c r="E26" s="68"/>
      <c r="F26" s="69">
        <v>50</v>
      </c>
      <c r="G26" s="66"/>
      <c r="H26" s="70"/>
      <c r="I26" s="71"/>
      <c r="J26" s="71"/>
      <c r="K26" s="34" t="s">
        <v>65</v>
      </c>
      <c r="L26" s="78">
        <v>26</v>
      </c>
      <c r="M26" s="78"/>
      <c r="N26" s="73"/>
      <c r="O26" s="89" t="s">
        <v>494</v>
      </c>
      <c r="P26">
        <v>1</v>
      </c>
      <c r="Q26" s="88" t="str">
        <f>REPLACE(INDEX(GroupVertices[Group],MATCH(Edges[[#This Row],[Vertex 1]],GroupVertices[Vertex],0)),1,1,"")</f>
        <v>5</v>
      </c>
      <c r="R26" s="88" t="str">
        <f>REPLACE(INDEX(GroupVertices[Group],MATCH(Edges[[#This Row],[Vertex 2]],GroupVertices[Vertex],0)),1,1,"")</f>
        <v>5</v>
      </c>
      <c r="S26" s="34"/>
      <c r="T26" s="34"/>
      <c r="U26" s="34"/>
      <c r="V26" s="34"/>
      <c r="W26" s="34"/>
      <c r="X26" s="34"/>
      <c r="Y26" s="34"/>
      <c r="Z26" s="34"/>
      <c r="AA26" s="34"/>
    </row>
    <row r="27" spans="1:27" ht="15">
      <c r="A27" s="65" t="s">
        <v>215</v>
      </c>
      <c r="B27" s="65" t="s">
        <v>248</v>
      </c>
      <c r="C27" s="66" t="s">
        <v>2751</v>
      </c>
      <c r="D27" s="67">
        <v>3</v>
      </c>
      <c r="E27" s="68"/>
      <c r="F27" s="69">
        <v>50</v>
      </c>
      <c r="G27" s="66"/>
      <c r="H27" s="70"/>
      <c r="I27" s="71"/>
      <c r="J27" s="71"/>
      <c r="K27" s="34" t="s">
        <v>65</v>
      </c>
      <c r="L27" s="78">
        <v>27</v>
      </c>
      <c r="M27" s="78"/>
      <c r="N27" s="73"/>
      <c r="O27" s="89" t="s">
        <v>494</v>
      </c>
      <c r="P27">
        <v>1</v>
      </c>
      <c r="Q27" s="88" t="str">
        <f>REPLACE(INDEX(GroupVertices[Group],MATCH(Edges[[#This Row],[Vertex 1]],GroupVertices[Vertex],0)),1,1,"")</f>
        <v>5</v>
      </c>
      <c r="R27" s="88" t="str">
        <f>REPLACE(INDEX(GroupVertices[Group],MATCH(Edges[[#This Row],[Vertex 2]],GroupVertices[Vertex],0)),1,1,"")</f>
        <v>5</v>
      </c>
      <c r="S27" s="34"/>
      <c r="T27" s="34"/>
      <c r="U27" s="34"/>
      <c r="V27" s="34"/>
      <c r="W27" s="34"/>
      <c r="X27" s="34"/>
      <c r="Y27" s="34"/>
      <c r="Z27" s="34"/>
      <c r="AA27" s="34"/>
    </row>
    <row r="28" spans="1:27" ht="15">
      <c r="A28" s="65" t="s">
        <v>215</v>
      </c>
      <c r="B28" s="65" t="s">
        <v>254</v>
      </c>
      <c r="C28" s="66" t="s">
        <v>2751</v>
      </c>
      <c r="D28" s="67">
        <v>3</v>
      </c>
      <c r="E28" s="68"/>
      <c r="F28" s="69">
        <v>50</v>
      </c>
      <c r="G28" s="66"/>
      <c r="H28" s="70"/>
      <c r="I28" s="71"/>
      <c r="J28" s="71"/>
      <c r="K28" s="34" t="s">
        <v>65</v>
      </c>
      <c r="L28" s="78">
        <v>28</v>
      </c>
      <c r="M28" s="78"/>
      <c r="N28" s="73"/>
      <c r="O28" s="89" t="s">
        <v>494</v>
      </c>
      <c r="P28">
        <v>1</v>
      </c>
      <c r="Q28" s="88" t="str">
        <f>REPLACE(INDEX(GroupVertices[Group],MATCH(Edges[[#This Row],[Vertex 1]],GroupVertices[Vertex],0)),1,1,"")</f>
        <v>5</v>
      </c>
      <c r="R28" s="88" t="str">
        <f>REPLACE(INDEX(GroupVertices[Group],MATCH(Edges[[#This Row],[Vertex 2]],GroupVertices[Vertex],0)),1,1,"")</f>
        <v>5</v>
      </c>
      <c r="S28" s="34"/>
      <c r="T28" s="34"/>
      <c r="U28" s="34"/>
      <c r="V28" s="34"/>
      <c r="W28" s="34"/>
      <c r="X28" s="34"/>
      <c r="Y28" s="34"/>
      <c r="Z28" s="34"/>
      <c r="AA28" s="34"/>
    </row>
    <row r="29" spans="1:27" ht="15">
      <c r="A29" s="65" t="s">
        <v>215</v>
      </c>
      <c r="B29" s="65" t="s">
        <v>255</v>
      </c>
      <c r="C29" s="66" t="s">
        <v>2751</v>
      </c>
      <c r="D29" s="67">
        <v>3</v>
      </c>
      <c r="E29" s="68"/>
      <c r="F29" s="69">
        <v>50</v>
      </c>
      <c r="G29" s="66"/>
      <c r="H29" s="70"/>
      <c r="I29" s="71"/>
      <c r="J29" s="71"/>
      <c r="K29" s="34" t="s">
        <v>65</v>
      </c>
      <c r="L29" s="78">
        <v>29</v>
      </c>
      <c r="M29" s="78"/>
      <c r="N29" s="73"/>
      <c r="O29" s="89" t="s">
        <v>494</v>
      </c>
      <c r="P29">
        <v>1</v>
      </c>
      <c r="Q29" s="88" t="str">
        <f>REPLACE(INDEX(GroupVertices[Group],MATCH(Edges[[#This Row],[Vertex 1]],GroupVertices[Vertex],0)),1,1,"")</f>
        <v>5</v>
      </c>
      <c r="R29" s="88" t="str">
        <f>REPLACE(INDEX(GroupVertices[Group],MATCH(Edges[[#This Row],[Vertex 2]],GroupVertices[Vertex],0)),1,1,"")</f>
        <v>5</v>
      </c>
      <c r="S29" s="34"/>
      <c r="T29" s="34"/>
      <c r="U29" s="34"/>
      <c r="V29" s="34"/>
      <c r="W29" s="34"/>
      <c r="X29" s="34"/>
      <c r="Y29" s="34"/>
      <c r="Z29" s="34"/>
      <c r="AA29" s="34"/>
    </row>
    <row r="30" spans="1:27" ht="15">
      <c r="A30" s="65" t="s">
        <v>215</v>
      </c>
      <c r="B30" s="65" t="s">
        <v>256</v>
      </c>
      <c r="C30" s="66" t="s">
        <v>2751</v>
      </c>
      <c r="D30" s="67">
        <v>3</v>
      </c>
      <c r="E30" s="68"/>
      <c r="F30" s="69">
        <v>50</v>
      </c>
      <c r="G30" s="66"/>
      <c r="H30" s="70"/>
      <c r="I30" s="71"/>
      <c r="J30" s="71"/>
      <c r="K30" s="34" t="s">
        <v>65</v>
      </c>
      <c r="L30" s="78">
        <v>30</v>
      </c>
      <c r="M30" s="78"/>
      <c r="N30" s="73"/>
      <c r="O30" s="89" t="s">
        <v>494</v>
      </c>
      <c r="P30">
        <v>1</v>
      </c>
      <c r="Q30" s="88" t="str">
        <f>REPLACE(INDEX(GroupVertices[Group],MATCH(Edges[[#This Row],[Vertex 1]],GroupVertices[Vertex],0)),1,1,"")</f>
        <v>5</v>
      </c>
      <c r="R30" s="88" t="str">
        <f>REPLACE(INDEX(GroupVertices[Group],MATCH(Edges[[#This Row],[Vertex 2]],GroupVertices[Vertex],0)),1,1,"")</f>
        <v>1</v>
      </c>
      <c r="S30" s="34"/>
      <c r="T30" s="34"/>
      <c r="U30" s="34"/>
      <c r="V30" s="34"/>
      <c r="W30" s="34"/>
      <c r="X30" s="34"/>
      <c r="Y30" s="34"/>
      <c r="Z30" s="34"/>
      <c r="AA30" s="34"/>
    </row>
    <row r="31" spans="1:27" ht="15">
      <c r="A31" s="65" t="s">
        <v>215</v>
      </c>
      <c r="B31" s="65" t="s">
        <v>257</v>
      </c>
      <c r="C31" s="66" t="s">
        <v>2751</v>
      </c>
      <c r="D31" s="67">
        <v>3</v>
      </c>
      <c r="E31" s="68"/>
      <c r="F31" s="69">
        <v>50</v>
      </c>
      <c r="G31" s="66"/>
      <c r="H31" s="70"/>
      <c r="I31" s="71"/>
      <c r="J31" s="71"/>
      <c r="K31" s="34" t="s">
        <v>65</v>
      </c>
      <c r="L31" s="78">
        <v>31</v>
      </c>
      <c r="M31" s="78"/>
      <c r="N31" s="73"/>
      <c r="O31" s="89" t="s">
        <v>494</v>
      </c>
      <c r="P31">
        <v>1</v>
      </c>
      <c r="Q31" s="88" t="str">
        <f>REPLACE(INDEX(GroupVertices[Group],MATCH(Edges[[#This Row],[Vertex 1]],GroupVertices[Vertex],0)),1,1,"")</f>
        <v>5</v>
      </c>
      <c r="R31" s="88" t="str">
        <f>REPLACE(INDEX(GroupVertices[Group],MATCH(Edges[[#This Row],[Vertex 2]],GroupVertices[Vertex],0)),1,1,"")</f>
        <v>2</v>
      </c>
      <c r="S31" s="34"/>
      <c r="T31" s="34"/>
      <c r="U31" s="34"/>
      <c r="V31" s="34"/>
      <c r="W31" s="34"/>
      <c r="X31" s="34"/>
      <c r="Y31" s="34"/>
      <c r="Z31" s="34"/>
      <c r="AA31" s="34"/>
    </row>
    <row r="32" spans="1:27" ht="15">
      <c r="A32" s="65" t="s">
        <v>215</v>
      </c>
      <c r="B32" s="65" t="s">
        <v>258</v>
      </c>
      <c r="C32" s="66" t="s">
        <v>2751</v>
      </c>
      <c r="D32" s="67">
        <v>3</v>
      </c>
      <c r="E32" s="68"/>
      <c r="F32" s="69">
        <v>50</v>
      </c>
      <c r="G32" s="66"/>
      <c r="H32" s="70"/>
      <c r="I32" s="71"/>
      <c r="J32" s="71"/>
      <c r="K32" s="34" t="s">
        <v>65</v>
      </c>
      <c r="L32" s="78">
        <v>32</v>
      </c>
      <c r="M32" s="78"/>
      <c r="N32" s="73"/>
      <c r="O32" s="89" t="s">
        <v>494</v>
      </c>
      <c r="P32">
        <v>1</v>
      </c>
      <c r="Q32" s="88" t="str">
        <f>REPLACE(INDEX(GroupVertices[Group],MATCH(Edges[[#This Row],[Vertex 1]],GroupVertices[Vertex],0)),1,1,"")</f>
        <v>5</v>
      </c>
      <c r="R32" s="88" t="str">
        <f>REPLACE(INDEX(GroupVertices[Group],MATCH(Edges[[#This Row],[Vertex 2]],GroupVertices[Vertex],0)),1,1,"")</f>
        <v>3</v>
      </c>
      <c r="S32" s="34"/>
      <c r="T32" s="34"/>
      <c r="U32" s="34"/>
      <c r="V32" s="34"/>
      <c r="W32" s="34"/>
      <c r="X32" s="34"/>
      <c r="Y32" s="34"/>
      <c r="Z32" s="34"/>
      <c r="AA32" s="34"/>
    </row>
    <row r="33" spans="1:27" ht="15">
      <c r="A33" s="65" t="s">
        <v>215</v>
      </c>
      <c r="B33" s="65" t="s">
        <v>259</v>
      </c>
      <c r="C33" s="66" t="s">
        <v>2751</v>
      </c>
      <c r="D33" s="67">
        <v>3</v>
      </c>
      <c r="E33" s="68"/>
      <c r="F33" s="69">
        <v>50</v>
      </c>
      <c r="G33" s="66"/>
      <c r="H33" s="70"/>
      <c r="I33" s="71"/>
      <c r="J33" s="71"/>
      <c r="K33" s="34" t="s">
        <v>65</v>
      </c>
      <c r="L33" s="78">
        <v>33</v>
      </c>
      <c r="M33" s="78"/>
      <c r="N33" s="73"/>
      <c r="O33" s="89" t="s">
        <v>494</v>
      </c>
      <c r="P33">
        <v>1</v>
      </c>
      <c r="Q33" s="88" t="str">
        <f>REPLACE(INDEX(GroupVertices[Group],MATCH(Edges[[#This Row],[Vertex 1]],GroupVertices[Vertex],0)),1,1,"")</f>
        <v>5</v>
      </c>
      <c r="R33" s="88" t="str">
        <f>REPLACE(INDEX(GroupVertices[Group],MATCH(Edges[[#This Row],[Vertex 2]],GroupVertices[Vertex],0)),1,1,"")</f>
        <v>2</v>
      </c>
      <c r="S33" s="34"/>
      <c r="T33" s="34"/>
      <c r="U33" s="34"/>
      <c r="V33" s="34"/>
      <c r="W33" s="34"/>
      <c r="X33" s="34"/>
      <c r="Y33" s="34"/>
      <c r="Z33" s="34"/>
      <c r="AA33" s="34"/>
    </row>
    <row r="34" spans="1:27" ht="15">
      <c r="A34" s="65" t="s">
        <v>215</v>
      </c>
      <c r="B34" s="65" t="s">
        <v>260</v>
      </c>
      <c r="C34" s="66" t="s">
        <v>2751</v>
      </c>
      <c r="D34" s="67">
        <v>3</v>
      </c>
      <c r="E34" s="68"/>
      <c r="F34" s="69">
        <v>50</v>
      </c>
      <c r="G34" s="66"/>
      <c r="H34" s="70"/>
      <c r="I34" s="71"/>
      <c r="J34" s="71"/>
      <c r="K34" s="34" t="s">
        <v>65</v>
      </c>
      <c r="L34" s="78">
        <v>34</v>
      </c>
      <c r="M34" s="78"/>
      <c r="N34" s="73"/>
      <c r="O34" s="89" t="s">
        <v>494</v>
      </c>
      <c r="P34">
        <v>1</v>
      </c>
      <c r="Q34" s="88" t="str">
        <f>REPLACE(INDEX(GroupVertices[Group],MATCH(Edges[[#This Row],[Vertex 1]],GroupVertices[Vertex],0)),1,1,"")</f>
        <v>5</v>
      </c>
      <c r="R34" s="88" t="str">
        <f>REPLACE(INDEX(GroupVertices[Group],MATCH(Edges[[#This Row],[Vertex 2]],GroupVertices[Vertex],0)),1,1,"")</f>
        <v>5</v>
      </c>
      <c r="S34" s="34"/>
      <c r="T34" s="34"/>
      <c r="U34" s="34"/>
      <c r="V34" s="34"/>
      <c r="W34" s="34"/>
      <c r="X34" s="34"/>
      <c r="Y34" s="34"/>
      <c r="Z34" s="34"/>
      <c r="AA34" s="34"/>
    </row>
    <row r="35" spans="1:27" ht="15">
      <c r="A35" s="65" t="s">
        <v>215</v>
      </c>
      <c r="B35" s="65" t="s">
        <v>261</v>
      </c>
      <c r="C35" s="66" t="s">
        <v>2751</v>
      </c>
      <c r="D35" s="67">
        <v>3</v>
      </c>
      <c r="E35" s="68"/>
      <c r="F35" s="69">
        <v>50</v>
      </c>
      <c r="G35" s="66"/>
      <c r="H35" s="70"/>
      <c r="I35" s="71"/>
      <c r="J35" s="71"/>
      <c r="K35" s="34" t="s">
        <v>65</v>
      </c>
      <c r="L35" s="78">
        <v>35</v>
      </c>
      <c r="M35" s="78"/>
      <c r="N35" s="73"/>
      <c r="O35" s="89" t="s">
        <v>494</v>
      </c>
      <c r="P35">
        <v>1</v>
      </c>
      <c r="Q35" s="88" t="str">
        <f>REPLACE(INDEX(GroupVertices[Group],MATCH(Edges[[#This Row],[Vertex 1]],GroupVertices[Vertex],0)),1,1,"")</f>
        <v>5</v>
      </c>
      <c r="R35" s="88" t="str">
        <f>REPLACE(INDEX(GroupVertices[Group],MATCH(Edges[[#This Row],[Vertex 2]],GroupVertices[Vertex],0)),1,1,"")</f>
        <v>5</v>
      </c>
      <c r="S35" s="34"/>
      <c r="T35" s="34"/>
      <c r="U35" s="34"/>
      <c r="V35" s="34"/>
      <c r="W35" s="34"/>
      <c r="X35" s="34"/>
      <c r="Y35" s="34"/>
      <c r="Z35" s="34"/>
      <c r="AA35" s="34"/>
    </row>
    <row r="36" spans="1:27" ht="15">
      <c r="A36" s="65" t="s">
        <v>215</v>
      </c>
      <c r="B36" s="65" t="s">
        <v>262</v>
      </c>
      <c r="C36" s="66" t="s">
        <v>2751</v>
      </c>
      <c r="D36" s="67">
        <v>3</v>
      </c>
      <c r="E36" s="68"/>
      <c r="F36" s="69">
        <v>50</v>
      </c>
      <c r="G36" s="66"/>
      <c r="H36" s="70"/>
      <c r="I36" s="71"/>
      <c r="J36" s="71"/>
      <c r="K36" s="34" t="s">
        <v>65</v>
      </c>
      <c r="L36" s="78">
        <v>36</v>
      </c>
      <c r="M36" s="78"/>
      <c r="N36" s="73"/>
      <c r="O36" s="89" t="s">
        <v>494</v>
      </c>
      <c r="P36">
        <v>1</v>
      </c>
      <c r="Q36" s="88" t="str">
        <f>REPLACE(INDEX(GroupVertices[Group],MATCH(Edges[[#This Row],[Vertex 1]],GroupVertices[Vertex],0)),1,1,"")</f>
        <v>5</v>
      </c>
      <c r="R36" s="88" t="str">
        <f>REPLACE(INDEX(GroupVertices[Group],MATCH(Edges[[#This Row],[Vertex 2]],GroupVertices[Vertex],0)),1,1,"")</f>
        <v>2</v>
      </c>
      <c r="S36" s="34"/>
      <c r="T36" s="34"/>
      <c r="U36" s="34"/>
      <c r="V36" s="34"/>
      <c r="W36" s="34"/>
      <c r="X36" s="34"/>
      <c r="Y36" s="34"/>
      <c r="Z36" s="34"/>
      <c r="AA36" s="34"/>
    </row>
    <row r="37" spans="1:27" ht="15">
      <c r="A37" s="65" t="s">
        <v>215</v>
      </c>
      <c r="B37" s="65" t="s">
        <v>263</v>
      </c>
      <c r="C37" s="66" t="s">
        <v>2751</v>
      </c>
      <c r="D37" s="67">
        <v>3</v>
      </c>
      <c r="E37" s="68"/>
      <c r="F37" s="69">
        <v>50</v>
      </c>
      <c r="G37" s="66"/>
      <c r="H37" s="70"/>
      <c r="I37" s="71"/>
      <c r="J37" s="71"/>
      <c r="K37" s="34" t="s">
        <v>65</v>
      </c>
      <c r="L37" s="78">
        <v>37</v>
      </c>
      <c r="M37" s="78"/>
      <c r="N37" s="73"/>
      <c r="O37" s="89" t="s">
        <v>494</v>
      </c>
      <c r="P37">
        <v>1</v>
      </c>
      <c r="Q37" s="88" t="str">
        <f>REPLACE(INDEX(GroupVertices[Group],MATCH(Edges[[#This Row],[Vertex 1]],GroupVertices[Vertex],0)),1,1,"")</f>
        <v>5</v>
      </c>
      <c r="R37" s="88" t="str">
        <f>REPLACE(INDEX(GroupVertices[Group],MATCH(Edges[[#This Row],[Vertex 2]],GroupVertices[Vertex],0)),1,1,"")</f>
        <v>5</v>
      </c>
      <c r="S37" s="34"/>
      <c r="T37" s="34"/>
      <c r="U37" s="34"/>
      <c r="V37" s="34"/>
      <c r="W37" s="34"/>
      <c r="X37" s="34"/>
      <c r="Y37" s="34"/>
      <c r="Z37" s="34"/>
      <c r="AA37" s="34"/>
    </row>
    <row r="38" spans="1:27" ht="15">
      <c r="A38" s="65" t="s">
        <v>215</v>
      </c>
      <c r="B38" s="65" t="s">
        <v>264</v>
      </c>
      <c r="C38" s="66" t="s">
        <v>2751</v>
      </c>
      <c r="D38" s="67">
        <v>3</v>
      </c>
      <c r="E38" s="68"/>
      <c r="F38" s="69">
        <v>50</v>
      </c>
      <c r="G38" s="66"/>
      <c r="H38" s="70"/>
      <c r="I38" s="71"/>
      <c r="J38" s="71"/>
      <c r="K38" s="34" t="s">
        <v>65</v>
      </c>
      <c r="L38" s="78">
        <v>38</v>
      </c>
      <c r="M38" s="78"/>
      <c r="N38" s="73"/>
      <c r="O38" s="89" t="s">
        <v>494</v>
      </c>
      <c r="P38">
        <v>1</v>
      </c>
      <c r="Q38" s="88" t="str">
        <f>REPLACE(INDEX(GroupVertices[Group],MATCH(Edges[[#This Row],[Vertex 1]],GroupVertices[Vertex],0)),1,1,"")</f>
        <v>5</v>
      </c>
      <c r="R38" s="88" t="str">
        <f>REPLACE(INDEX(GroupVertices[Group],MATCH(Edges[[#This Row],[Vertex 2]],GroupVertices[Vertex],0)),1,1,"")</f>
        <v>5</v>
      </c>
      <c r="S38" s="34"/>
      <c r="T38" s="34"/>
      <c r="U38" s="34"/>
      <c r="V38" s="34"/>
      <c r="W38" s="34"/>
      <c r="X38" s="34"/>
      <c r="Y38" s="34"/>
      <c r="Z38" s="34"/>
      <c r="AA38" s="34"/>
    </row>
    <row r="39" spans="1:27" ht="15">
      <c r="A39" s="65" t="s">
        <v>215</v>
      </c>
      <c r="B39" s="65" t="s">
        <v>265</v>
      </c>
      <c r="C39" s="66" t="s">
        <v>2751</v>
      </c>
      <c r="D39" s="67">
        <v>3</v>
      </c>
      <c r="E39" s="68"/>
      <c r="F39" s="69">
        <v>50</v>
      </c>
      <c r="G39" s="66"/>
      <c r="H39" s="70"/>
      <c r="I39" s="71"/>
      <c r="J39" s="71"/>
      <c r="K39" s="34" t="s">
        <v>65</v>
      </c>
      <c r="L39" s="78">
        <v>39</v>
      </c>
      <c r="M39" s="78"/>
      <c r="N39" s="73"/>
      <c r="O39" s="89" t="s">
        <v>494</v>
      </c>
      <c r="P39">
        <v>1</v>
      </c>
      <c r="Q39" s="88" t="str">
        <f>REPLACE(INDEX(GroupVertices[Group],MATCH(Edges[[#This Row],[Vertex 1]],GroupVertices[Vertex],0)),1,1,"")</f>
        <v>5</v>
      </c>
      <c r="R39" s="88" t="str">
        <f>REPLACE(INDEX(GroupVertices[Group],MATCH(Edges[[#This Row],[Vertex 2]],GroupVertices[Vertex],0)),1,1,"")</f>
        <v>5</v>
      </c>
      <c r="S39" s="34"/>
      <c r="T39" s="34"/>
      <c r="U39" s="34"/>
      <c r="V39" s="34"/>
      <c r="W39" s="34"/>
      <c r="X39" s="34"/>
      <c r="Y39" s="34"/>
      <c r="Z39" s="34"/>
      <c r="AA39" s="34"/>
    </row>
    <row r="40" spans="1:27" ht="15">
      <c r="A40" s="65" t="s">
        <v>215</v>
      </c>
      <c r="B40" s="65" t="s">
        <v>266</v>
      </c>
      <c r="C40" s="66" t="s">
        <v>2751</v>
      </c>
      <c r="D40" s="67">
        <v>3</v>
      </c>
      <c r="E40" s="68"/>
      <c r="F40" s="69">
        <v>50</v>
      </c>
      <c r="G40" s="66"/>
      <c r="H40" s="70"/>
      <c r="I40" s="71"/>
      <c r="J40" s="71"/>
      <c r="K40" s="34" t="s">
        <v>65</v>
      </c>
      <c r="L40" s="78">
        <v>40</v>
      </c>
      <c r="M40" s="78"/>
      <c r="N40" s="73"/>
      <c r="O40" s="89" t="s">
        <v>494</v>
      </c>
      <c r="P40">
        <v>1</v>
      </c>
      <c r="Q40" s="88" t="str">
        <f>REPLACE(INDEX(GroupVertices[Group],MATCH(Edges[[#This Row],[Vertex 1]],GroupVertices[Vertex],0)),1,1,"")</f>
        <v>5</v>
      </c>
      <c r="R40" s="88" t="str">
        <f>REPLACE(INDEX(GroupVertices[Group],MATCH(Edges[[#This Row],[Vertex 2]],GroupVertices[Vertex],0)),1,1,"")</f>
        <v>2</v>
      </c>
      <c r="S40" s="34"/>
      <c r="T40" s="34"/>
      <c r="U40" s="34"/>
      <c r="V40" s="34"/>
      <c r="W40" s="34"/>
      <c r="X40" s="34"/>
      <c r="Y40" s="34"/>
      <c r="Z40" s="34"/>
      <c r="AA40" s="34"/>
    </row>
    <row r="41" spans="1:27" ht="15">
      <c r="A41" s="65" t="s">
        <v>215</v>
      </c>
      <c r="B41" s="65" t="s">
        <v>267</v>
      </c>
      <c r="C41" s="66" t="s">
        <v>2751</v>
      </c>
      <c r="D41" s="67">
        <v>3</v>
      </c>
      <c r="E41" s="68"/>
      <c r="F41" s="69">
        <v>50</v>
      </c>
      <c r="G41" s="66"/>
      <c r="H41" s="70"/>
      <c r="I41" s="71"/>
      <c r="J41" s="71"/>
      <c r="K41" s="34" t="s">
        <v>65</v>
      </c>
      <c r="L41" s="78">
        <v>41</v>
      </c>
      <c r="M41" s="78"/>
      <c r="N41" s="73"/>
      <c r="O41" s="89" t="s">
        <v>494</v>
      </c>
      <c r="P41">
        <v>1</v>
      </c>
      <c r="Q41" s="88" t="str">
        <f>REPLACE(INDEX(GroupVertices[Group],MATCH(Edges[[#This Row],[Vertex 1]],GroupVertices[Vertex],0)),1,1,"")</f>
        <v>5</v>
      </c>
      <c r="R41" s="88" t="str">
        <f>REPLACE(INDEX(GroupVertices[Group],MATCH(Edges[[#This Row],[Vertex 2]],GroupVertices[Vertex],0)),1,1,"")</f>
        <v>4</v>
      </c>
      <c r="S41" s="34"/>
      <c r="T41" s="34"/>
      <c r="U41" s="34"/>
      <c r="V41" s="34"/>
      <c r="W41" s="34"/>
      <c r="X41" s="34"/>
      <c r="Y41" s="34"/>
      <c r="Z41" s="34"/>
      <c r="AA41" s="34"/>
    </row>
    <row r="42" spans="1:27" ht="15">
      <c r="A42" s="65" t="s">
        <v>215</v>
      </c>
      <c r="B42" s="65" t="s">
        <v>217</v>
      </c>
      <c r="C42" s="66" t="s">
        <v>2751</v>
      </c>
      <c r="D42" s="67">
        <v>3</v>
      </c>
      <c r="E42" s="68"/>
      <c r="F42" s="69">
        <v>50</v>
      </c>
      <c r="G42" s="66"/>
      <c r="H42" s="70"/>
      <c r="I42" s="71"/>
      <c r="J42" s="71"/>
      <c r="K42" s="34" t="s">
        <v>65</v>
      </c>
      <c r="L42" s="78">
        <v>42</v>
      </c>
      <c r="M42" s="78"/>
      <c r="N42" s="73"/>
      <c r="O42" s="89" t="s">
        <v>494</v>
      </c>
      <c r="P42">
        <v>1</v>
      </c>
      <c r="Q42" s="88" t="str">
        <f>REPLACE(INDEX(GroupVertices[Group],MATCH(Edges[[#This Row],[Vertex 1]],GroupVertices[Vertex],0)),1,1,"")</f>
        <v>5</v>
      </c>
      <c r="R42" s="88" t="str">
        <f>REPLACE(INDEX(GroupVertices[Group],MATCH(Edges[[#This Row],[Vertex 2]],GroupVertices[Vertex],0)),1,1,"")</f>
        <v>4</v>
      </c>
      <c r="S42" s="34"/>
      <c r="T42" s="34"/>
      <c r="U42" s="34"/>
      <c r="V42" s="34"/>
      <c r="W42" s="34"/>
      <c r="X42" s="34"/>
      <c r="Y42" s="34"/>
      <c r="Z42" s="34"/>
      <c r="AA42" s="34"/>
    </row>
    <row r="43" spans="1:27" ht="15">
      <c r="A43" s="65" t="s">
        <v>216</v>
      </c>
      <c r="B43" s="65" t="s">
        <v>268</v>
      </c>
      <c r="C43" s="66" t="s">
        <v>2751</v>
      </c>
      <c r="D43" s="67">
        <v>3</v>
      </c>
      <c r="E43" s="68"/>
      <c r="F43" s="69">
        <v>50</v>
      </c>
      <c r="G43" s="66"/>
      <c r="H43" s="70"/>
      <c r="I43" s="71"/>
      <c r="J43" s="71"/>
      <c r="K43" s="34" t="s">
        <v>65</v>
      </c>
      <c r="L43" s="78">
        <v>43</v>
      </c>
      <c r="M43" s="78"/>
      <c r="N43" s="73"/>
      <c r="O43" s="89" t="s">
        <v>494</v>
      </c>
      <c r="P43">
        <v>1</v>
      </c>
      <c r="Q43" s="88" t="str">
        <f>REPLACE(INDEX(GroupVertices[Group],MATCH(Edges[[#This Row],[Vertex 1]],GroupVertices[Vertex],0)),1,1,"")</f>
        <v>3</v>
      </c>
      <c r="R43" s="88" t="str">
        <f>REPLACE(INDEX(GroupVertices[Group],MATCH(Edges[[#This Row],[Vertex 2]],GroupVertices[Vertex],0)),1,1,"")</f>
        <v>3</v>
      </c>
      <c r="S43" s="34"/>
      <c r="T43" s="34"/>
      <c r="U43" s="34"/>
      <c r="V43" s="34"/>
      <c r="W43" s="34"/>
      <c r="X43" s="34"/>
      <c r="Y43" s="34"/>
      <c r="Z43" s="34"/>
      <c r="AA43" s="34"/>
    </row>
    <row r="44" spans="1:27" ht="15">
      <c r="A44" s="65" t="s">
        <v>216</v>
      </c>
      <c r="B44" s="65" t="s">
        <v>269</v>
      </c>
      <c r="C44" s="66" t="s">
        <v>2751</v>
      </c>
      <c r="D44" s="67">
        <v>3</v>
      </c>
      <c r="E44" s="68"/>
      <c r="F44" s="69">
        <v>50</v>
      </c>
      <c r="G44" s="66"/>
      <c r="H44" s="70"/>
      <c r="I44" s="71"/>
      <c r="J44" s="71"/>
      <c r="K44" s="34" t="s">
        <v>65</v>
      </c>
      <c r="L44" s="78">
        <v>44</v>
      </c>
      <c r="M44" s="78"/>
      <c r="N44" s="73"/>
      <c r="O44" s="89" t="s">
        <v>494</v>
      </c>
      <c r="P44">
        <v>1</v>
      </c>
      <c r="Q44" s="88" t="str">
        <f>REPLACE(INDEX(GroupVertices[Group],MATCH(Edges[[#This Row],[Vertex 1]],GroupVertices[Vertex],0)),1,1,"")</f>
        <v>3</v>
      </c>
      <c r="R44" s="88" t="str">
        <f>REPLACE(INDEX(GroupVertices[Group],MATCH(Edges[[#This Row],[Vertex 2]],GroupVertices[Vertex],0)),1,1,"")</f>
        <v>3</v>
      </c>
      <c r="S44" s="34"/>
      <c r="T44" s="34"/>
      <c r="U44" s="34"/>
      <c r="V44" s="34"/>
      <c r="W44" s="34"/>
      <c r="X44" s="34"/>
      <c r="Y44" s="34"/>
      <c r="Z44" s="34"/>
      <c r="AA44" s="34"/>
    </row>
    <row r="45" spans="1:27" ht="15">
      <c r="A45" s="65" t="s">
        <v>216</v>
      </c>
      <c r="B45" s="65" t="s">
        <v>270</v>
      </c>
      <c r="C45" s="66" t="s">
        <v>2751</v>
      </c>
      <c r="D45" s="67">
        <v>3</v>
      </c>
      <c r="E45" s="68"/>
      <c r="F45" s="69">
        <v>50</v>
      </c>
      <c r="G45" s="66"/>
      <c r="H45" s="70"/>
      <c r="I45" s="71"/>
      <c r="J45" s="71"/>
      <c r="K45" s="34" t="s">
        <v>65</v>
      </c>
      <c r="L45" s="78">
        <v>45</v>
      </c>
      <c r="M45" s="78"/>
      <c r="N45" s="73"/>
      <c r="O45" s="89" t="s">
        <v>494</v>
      </c>
      <c r="P45">
        <v>1</v>
      </c>
      <c r="Q45" s="88" t="str">
        <f>REPLACE(INDEX(GroupVertices[Group],MATCH(Edges[[#This Row],[Vertex 1]],GroupVertices[Vertex],0)),1,1,"")</f>
        <v>3</v>
      </c>
      <c r="R45" s="88" t="str">
        <f>REPLACE(INDEX(GroupVertices[Group],MATCH(Edges[[#This Row],[Vertex 2]],GroupVertices[Vertex],0)),1,1,"")</f>
        <v>3</v>
      </c>
      <c r="S45" s="34"/>
      <c r="T45" s="34"/>
      <c r="U45" s="34"/>
      <c r="V45" s="34"/>
      <c r="W45" s="34"/>
      <c r="X45" s="34"/>
      <c r="Y45" s="34"/>
      <c r="Z45" s="34"/>
      <c r="AA45" s="34"/>
    </row>
    <row r="46" spans="1:27" ht="15">
      <c r="A46" s="65" t="s">
        <v>216</v>
      </c>
      <c r="B46" s="65" t="s">
        <v>271</v>
      </c>
      <c r="C46" s="66" t="s">
        <v>2751</v>
      </c>
      <c r="D46" s="67">
        <v>3</v>
      </c>
      <c r="E46" s="68"/>
      <c r="F46" s="69">
        <v>50</v>
      </c>
      <c r="G46" s="66"/>
      <c r="H46" s="70"/>
      <c r="I46" s="71"/>
      <c r="J46" s="71"/>
      <c r="K46" s="34" t="s">
        <v>65</v>
      </c>
      <c r="L46" s="78">
        <v>46</v>
      </c>
      <c r="M46" s="78"/>
      <c r="N46" s="73"/>
      <c r="O46" s="89" t="s">
        <v>494</v>
      </c>
      <c r="P46">
        <v>1</v>
      </c>
      <c r="Q46" s="88" t="str">
        <f>REPLACE(INDEX(GroupVertices[Group],MATCH(Edges[[#This Row],[Vertex 1]],GroupVertices[Vertex],0)),1,1,"")</f>
        <v>3</v>
      </c>
      <c r="R46" s="88" t="str">
        <f>REPLACE(INDEX(GroupVertices[Group],MATCH(Edges[[#This Row],[Vertex 2]],GroupVertices[Vertex],0)),1,1,"")</f>
        <v>3</v>
      </c>
      <c r="S46" s="34"/>
      <c r="T46" s="34"/>
      <c r="U46" s="34"/>
      <c r="V46" s="34"/>
      <c r="W46" s="34"/>
      <c r="X46" s="34"/>
      <c r="Y46" s="34"/>
      <c r="Z46" s="34"/>
      <c r="AA46" s="34"/>
    </row>
    <row r="47" spans="1:27" ht="15">
      <c r="A47" s="65" t="s">
        <v>216</v>
      </c>
      <c r="B47" s="65" t="s">
        <v>258</v>
      </c>
      <c r="C47" s="66" t="s">
        <v>2751</v>
      </c>
      <c r="D47" s="67">
        <v>3</v>
      </c>
      <c r="E47" s="68"/>
      <c r="F47" s="69">
        <v>50</v>
      </c>
      <c r="G47" s="66"/>
      <c r="H47" s="70"/>
      <c r="I47" s="71"/>
      <c r="J47" s="71"/>
      <c r="K47" s="34" t="s">
        <v>65</v>
      </c>
      <c r="L47" s="78">
        <v>47</v>
      </c>
      <c r="M47" s="78"/>
      <c r="N47" s="73"/>
      <c r="O47" s="89" t="s">
        <v>494</v>
      </c>
      <c r="P47">
        <v>1</v>
      </c>
      <c r="Q47" s="88" t="str">
        <f>REPLACE(INDEX(GroupVertices[Group],MATCH(Edges[[#This Row],[Vertex 1]],GroupVertices[Vertex],0)),1,1,"")</f>
        <v>3</v>
      </c>
      <c r="R47" s="88" t="str">
        <f>REPLACE(INDEX(GroupVertices[Group],MATCH(Edges[[#This Row],[Vertex 2]],GroupVertices[Vertex],0)),1,1,"")</f>
        <v>3</v>
      </c>
      <c r="S47" s="34"/>
      <c r="T47" s="34"/>
      <c r="U47" s="34"/>
      <c r="V47" s="34"/>
      <c r="W47" s="34"/>
      <c r="X47" s="34"/>
      <c r="Y47" s="34"/>
      <c r="Z47" s="34"/>
      <c r="AA47" s="34"/>
    </row>
    <row r="48" spans="1:27" ht="15">
      <c r="A48" s="65" t="s">
        <v>216</v>
      </c>
      <c r="B48" s="65" t="s">
        <v>272</v>
      </c>
      <c r="C48" s="66" t="s">
        <v>2751</v>
      </c>
      <c r="D48" s="67">
        <v>3</v>
      </c>
      <c r="E48" s="68"/>
      <c r="F48" s="69">
        <v>50</v>
      </c>
      <c r="G48" s="66"/>
      <c r="H48" s="70"/>
      <c r="I48" s="71"/>
      <c r="J48" s="71"/>
      <c r="K48" s="34" t="s">
        <v>65</v>
      </c>
      <c r="L48" s="78">
        <v>48</v>
      </c>
      <c r="M48" s="78"/>
      <c r="N48" s="73"/>
      <c r="O48" s="89" t="s">
        <v>494</v>
      </c>
      <c r="P48">
        <v>1</v>
      </c>
      <c r="Q48" s="88" t="str">
        <f>REPLACE(INDEX(GroupVertices[Group],MATCH(Edges[[#This Row],[Vertex 1]],GroupVertices[Vertex],0)),1,1,"")</f>
        <v>3</v>
      </c>
      <c r="R48" s="88" t="str">
        <f>REPLACE(INDEX(GroupVertices[Group],MATCH(Edges[[#This Row],[Vertex 2]],GroupVertices[Vertex],0)),1,1,"")</f>
        <v>3</v>
      </c>
      <c r="S48" s="34"/>
      <c r="T48" s="34"/>
      <c r="U48" s="34"/>
      <c r="V48" s="34"/>
      <c r="W48" s="34"/>
      <c r="X48" s="34"/>
      <c r="Y48" s="34"/>
      <c r="Z48" s="34"/>
      <c r="AA48" s="34"/>
    </row>
    <row r="49" spans="1:27" ht="15">
      <c r="A49" s="65" t="s">
        <v>216</v>
      </c>
      <c r="B49" s="65" t="s">
        <v>273</v>
      </c>
      <c r="C49" s="66" t="s">
        <v>2751</v>
      </c>
      <c r="D49" s="67">
        <v>3</v>
      </c>
      <c r="E49" s="68"/>
      <c r="F49" s="69">
        <v>50</v>
      </c>
      <c r="G49" s="66"/>
      <c r="H49" s="70"/>
      <c r="I49" s="71"/>
      <c r="J49" s="71"/>
      <c r="K49" s="34" t="s">
        <v>65</v>
      </c>
      <c r="L49" s="78">
        <v>49</v>
      </c>
      <c r="M49" s="78"/>
      <c r="N49" s="73"/>
      <c r="O49" s="89" t="s">
        <v>494</v>
      </c>
      <c r="P49">
        <v>1</v>
      </c>
      <c r="Q49" s="88" t="str">
        <f>REPLACE(INDEX(GroupVertices[Group],MATCH(Edges[[#This Row],[Vertex 1]],GroupVertices[Vertex],0)),1,1,"")</f>
        <v>3</v>
      </c>
      <c r="R49" s="88" t="str">
        <f>REPLACE(INDEX(GroupVertices[Group],MATCH(Edges[[#This Row],[Vertex 2]],GroupVertices[Vertex],0)),1,1,"")</f>
        <v>3</v>
      </c>
      <c r="S49" s="34"/>
      <c r="T49" s="34"/>
      <c r="U49" s="34"/>
      <c r="V49" s="34"/>
      <c r="W49" s="34"/>
      <c r="X49" s="34"/>
      <c r="Y49" s="34"/>
      <c r="Z49" s="34"/>
      <c r="AA49" s="34"/>
    </row>
    <row r="50" spans="1:27" ht="15">
      <c r="A50" s="65" t="s">
        <v>216</v>
      </c>
      <c r="B50" s="65" t="s">
        <v>274</v>
      </c>
      <c r="C50" s="66" t="s">
        <v>2751</v>
      </c>
      <c r="D50" s="67">
        <v>3</v>
      </c>
      <c r="E50" s="68"/>
      <c r="F50" s="69">
        <v>50</v>
      </c>
      <c r="G50" s="66"/>
      <c r="H50" s="70"/>
      <c r="I50" s="71"/>
      <c r="J50" s="71"/>
      <c r="K50" s="34" t="s">
        <v>65</v>
      </c>
      <c r="L50" s="78">
        <v>50</v>
      </c>
      <c r="M50" s="78"/>
      <c r="N50" s="73"/>
      <c r="O50" s="89" t="s">
        <v>494</v>
      </c>
      <c r="P50">
        <v>1</v>
      </c>
      <c r="Q50" s="88" t="str">
        <f>REPLACE(INDEX(GroupVertices[Group],MATCH(Edges[[#This Row],[Vertex 1]],GroupVertices[Vertex],0)),1,1,"")</f>
        <v>3</v>
      </c>
      <c r="R50" s="88" t="str">
        <f>REPLACE(INDEX(GroupVertices[Group],MATCH(Edges[[#This Row],[Vertex 2]],GroupVertices[Vertex],0)),1,1,"")</f>
        <v>3</v>
      </c>
      <c r="S50" s="34"/>
      <c r="T50" s="34"/>
      <c r="U50" s="34"/>
      <c r="V50" s="34"/>
      <c r="W50" s="34"/>
      <c r="X50" s="34"/>
      <c r="Y50" s="34"/>
      <c r="Z50" s="34"/>
      <c r="AA50" s="34"/>
    </row>
    <row r="51" spans="1:27" ht="15">
      <c r="A51" s="65" t="s">
        <v>216</v>
      </c>
      <c r="B51" s="65" t="s">
        <v>275</v>
      </c>
      <c r="C51" s="66" t="s">
        <v>2751</v>
      </c>
      <c r="D51" s="67">
        <v>3</v>
      </c>
      <c r="E51" s="68"/>
      <c r="F51" s="69">
        <v>50</v>
      </c>
      <c r="G51" s="66"/>
      <c r="H51" s="70"/>
      <c r="I51" s="71"/>
      <c r="J51" s="71"/>
      <c r="K51" s="34" t="s">
        <v>65</v>
      </c>
      <c r="L51" s="78">
        <v>51</v>
      </c>
      <c r="M51" s="78"/>
      <c r="N51" s="73"/>
      <c r="O51" s="89" t="s">
        <v>494</v>
      </c>
      <c r="P51">
        <v>1</v>
      </c>
      <c r="Q51" s="88" t="str">
        <f>REPLACE(INDEX(GroupVertices[Group],MATCH(Edges[[#This Row],[Vertex 1]],GroupVertices[Vertex],0)),1,1,"")</f>
        <v>3</v>
      </c>
      <c r="R51" s="88" t="str">
        <f>REPLACE(INDEX(GroupVertices[Group],MATCH(Edges[[#This Row],[Vertex 2]],GroupVertices[Vertex],0)),1,1,"")</f>
        <v>3</v>
      </c>
      <c r="S51" s="34"/>
      <c r="T51" s="34"/>
      <c r="U51" s="34"/>
      <c r="V51" s="34"/>
      <c r="W51" s="34"/>
      <c r="X51" s="34"/>
      <c r="Y51" s="34"/>
      <c r="Z51" s="34"/>
      <c r="AA51" s="34"/>
    </row>
    <row r="52" spans="1:27" ht="15">
      <c r="A52" s="65" t="s">
        <v>216</v>
      </c>
      <c r="B52" s="65" t="s">
        <v>276</v>
      </c>
      <c r="C52" s="66" t="s">
        <v>2751</v>
      </c>
      <c r="D52" s="67">
        <v>3</v>
      </c>
      <c r="E52" s="68"/>
      <c r="F52" s="69">
        <v>50</v>
      </c>
      <c r="G52" s="66"/>
      <c r="H52" s="70"/>
      <c r="I52" s="71"/>
      <c r="J52" s="71"/>
      <c r="K52" s="34" t="s">
        <v>65</v>
      </c>
      <c r="L52" s="78">
        <v>52</v>
      </c>
      <c r="M52" s="78"/>
      <c r="N52" s="73"/>
      <c r="O52" s="89" t="s">
        <v>494</v>
      </c>
      <c r="P52">
        <v>1</v>
      </c>
      <c r="Q52" s="88" t="str">
        <f>REPLACE(INDEX(GroupVertices[Group],MATCH(Edges[[#This Row],[Vertex 1]],GroupVertices[Vertex],0)),1,1,"")</f>
        <v>3</v>
      </c>
      <c r="R52" s="88" t="str">
        <f>REPLACE(INDEX(GroupVertices[Group],MATCH(Edges[[#This Row],[Vertex 2]],GroupVertices[Vertex],0)),1,1,"")</f>
        <v>3</v>
      </c>
      <c r="S52" s="34"/>
      <c r="T52" s="34"/>
      <c r="U52" s="34"/>
      <c r="V52" s="34"/>
      <c r="W52" s="34"/>
      <c r="X52" s="34"/>
      <c r="Y52" s="34"/>
      <c r="Z52" s="34"/>
      <c r="AA52" s="34"/>
    </row>
    <row r="53" spans="1:27" ht="15">
      <c r="A53" s="65" t="s">
        <v>216</v>
      </c>
      <c r="B53" s="65" t="s">
        <v>277</v>
      </c>
      <c r="C53" s="66" t="s">
        <v>2751</v>
      </c>
      <c r="D53" s="67">
        <v>3</v>
      </c>
      <c r="E53" s="68"/>
      <c r="F53" s="69">
        <v>50</v>
      </c>
      <c r="G53" s="66"/>
      <c r="H53" s="70"/>
      <c r="I53" s="71"/>
      <c r="J53" s="71"/>
      <c r="K53" s="34" t="s">
        <v>65</v>
      </c>
      <c r="L53" s="78">
        <v>53</v>
      </c>
      <c r="M53" s="78"/>
      <c r="N53" s="73"/>
      <c r="O53" s="89" t="s">
        <v>494</v>
      </c>
      <c r="P53">
        <v>1</v>
      </c>
      <c r="Q53" s="88" t="str">
        <f>REPLACE(INDEX(GroupVertices[Group],MATCH(Edges[[#This Row],[Vertex 1]],GroupVertices[Vertex],0)),1,1,"")</f>
        <v>3</v>
      </c>
      <c r="R53" s="88" t="str">
        <f>REPLACE(INDEX(GroupVertices[Group],MATCH(Edges[[#This Row],[Vertex 2]],GroupVertices[Vertex],0)),1,1,"")</f>
        <v>3</v>
      </c>
      <c r="S53" s="34"/>
      <c r="T53" s="34"/>
      <c r="U53" s="34"/>
      <c r="V53" s="34"/>
      <c r="W53" s="34"/>
      <c r="X53" s="34"/>
      <c r="Y53" s="34"/>
      <c r="Z53" s="34"/>
      <c r="AA53" s="34"/>
    </row>
    <row r="54" spans="1:27" ht="15">
      <c r="A54" s="65" t="s">
        <v>216</v>
      </c>
      <c r="B54" s="65" t="s">
        <v>278</v>
      </c>
      <c r="C54" s="66" t="s">
        <v>2751</v>
      </c>
      <c r="D54" s="67">
        <v>3</v>
      </c>
      <c r="E54" s="68"/>
      <c r="F54" s="69">
        <v>50</v>
      </c>
      <c r="G54" s="66"/>
      <c r="H54" s="70"/>
      <c r="I54" s="71"/>
      <c r="J54" s="71"/>
      <c r="K54" s="34" t="s">
        <v>65</v>
      </c>
      <c r="L54" s="78">
        <v>54</v>
      </c>
      <c r="M54" s="78"/>
      <c r="N54" s="73"/>
      <c r="O54" s="89" t="s">
        <v>494</v>
      </c>
      <c r="P54">
        <v>1</v>
      </c>
      <c r="Q54" s="88" t="str">
        <f>REPLACE(INDEX(GroupVertices[Group],MATCH(Edges[[#This Row],[Vertex 1]],GroupVertices[Vertex],0)),1,1,"")</f>
        <v>3</v>
      </c>
      <c r="R54" s="88" t="str">
        <f>REPLACE(INDEX(GroupVertices[Group],MATCH(Edges[[#This Row],[Vertex 2]],GroupVertices[Vertex],0)),1,1,"")</f>
        <v>3</v>
      </c>
      <c r="S54" s="34"/>
      <c r="T54" s="34"/>
      <c r="U54" s="34"/>
      <c r="V54" s="34"/>
      <c r="W54" s="34"/>
      <c r="X54" s="34"/>
      <c r="Y54" s="34"/>
      <c r="Z54" s="34"/>
      <c r="AA54" s="34"/>
    </row>
    <row r="55" spans="1:27" ht="15">
      <c r="A55" s="65" t="s">
        <v>216</v>
      </c>
      <c r="B55" s="65" t="s">
        <v>279</v>
      </c>
      <c r="C55" s="66" t="s">
        <v>2751</v>
      </c>
      <c r="D55" s="67">
        <v>3</v>
      </c>
      <c r="E55" s="68"/>
      <c r="F55" s="69">
        <v>50</v>
      </c>
      <c r="G55" s="66"/>
      <c r="H55" s="70"/>
      <c r="I55" s="71"/>
      <c r="J55" s="71"/>
      <c r="K55" s="34" t="s">
        <v>65</v>
      </c>
      <c r="L55" s="78">
        <v>55</v>
      </c>
      <c r="M55" s="78"/>
      <c r="N55" s="73"/>
      <c r="O55" s="89" t="s">
        <v>494</v>
      </c>
      <c r="P55">
        <v>1</v>
      </c>
      <c r="Q55" s="88" t="str">
        <f>REPLACE(INDEX(GroupVertices[Group],MATCH(Edges[[#This Row],[Vertex 1]],GroupVertices[Vertex],0)),1,1,"")</f>
        <v>3</v>
      </c>
      <c r="R55" s="88" t="str">
        <f>REPLACE(INDEX(GroupVertices[Group],MATCH(Edges[[#This Row],[Vertex 2]],GroupVertices[Vertex],0)),1,1,"")</f>
        <v>3</v>
      </c>
      <c r="S55" s="34"/>
      <c r="T55" s="34"/>
      <c r="U55" s="34"/>
      <c r="V55" s="34"/>
      <c r="W55" s="34"/>
      <c r="X55" s="34"/>
      <c r="Y55" s="34"/>
      <c r="Z55" s="34"/>
      <c r="AA55" s="34"/>
    </row>
    <row r="56" spans="1:27" ht="15">
      <c r="A56" s="65" t="s">
        <v>216</v>
      </c>
      <c r="B56" s="65" t="s">
        <v>280</v>
      </c>
      <c r="C56" s="66" t="s">
        <v>2751</v>
      </c>
      <c r="D56" s="67">
        <v>3</v>
      </c>
      <c r="E56" s="68"/>
      <c r="F56" s="69">
        <v>50</v>
      </c>
      <c r="G56" s="66"/>
      <c r="H56" s="70"/>
      <c r="I56" s="71"/>
      <c r="J56" s="71"/>
      <c r="K56" s="34" t="s">
        <v>65</v>
      </c>
      <c r="L56" s="78">
        <v>56</v>
      </c>
      <c r="M56" s="78"/>
      <c r="N56" s="73"/>
      <c r="O56" s="89" t="s">
        <v>494</v>
      </c>
      <c r="P56">
        <v>1</v>
      </c>
      <c r="Q56" s="88" t="str">
        <f>REPLACE(INDEX(GroupVertices[Group],MATCH(Edges[[#This Row],[Vertex 1]],GroupVertices[Vertex],0)),1,1,"")</f>
        <v>3</v>
      </c>
      <c r="R56" s="88" t="str">
        <f>REPLACE(INDEX(GroupVertices[Group],MATCH(Edges[[#This Row],[Vertex 2]],GroupVertices[Vertex],0)),1,1,"")</f>
        <v>3</v>
      </c>
      <c r="S56" s="34"/>
      <c r="T56" s="34"/>
      <c r="U56" s="34"/>
      <c r="V56" s="34"/>
      <c r="W56" s="34"/>
      <c r="X56" s="34"/>
      <c r="Y56" s="34"/>
      <c r="Z56" s="34"/>
      <c r="AA56" s="34"/>
    </row>
    <row r="57" spans="1:27" ht="15">
      <c r="A57" s="65" t="s">
        <v>216</v>
      </c>
      <c r="B57" s="65" t="s">
        <v>281</v>
      </c>
      <c r="C57" s="66" t="s">
        <v>2751</v>
      </c>
      <c r="D57" s="67">
        <v>3</v>
      </c>
      <c r="E57" s="68"/>
      <c r="F57" s="69">
        <v>50</v>
      </c>
      <c r="G57" s="66"/>
      <c r="H57" s="70"/>
      <c r="I57" s="71"/>
      <c r="J57" s="71"/>
      <c r="K57" s="34" t="s">
        <v>65</v>
      </c>
      <c r="L57" s="78">
        <v>57</v>
      </c>
      <c r="M57" s="78"/>
      <c r="N57" s="73"/>
      <c r="O57" s="89" t="s">
        <v>494</v>
      </c>
      <c r="P57">
        <v>1</v>
      </c>
      <c r="Q57" s="88" t="str">
        <f>REPLACE(INDEX(GroupVertices[Group],MATCH(Edges[[#This Row],[Vertex 1]],GroupVertices[Vertex],0)),1,1,"")</f>
        <v>3</v>
      </c>
      <c r="R57" s="88" t="str">
        <f>REPLACE(INDEX(GroupVertices[Group],MATCH(Edges[[#This Row],[Vertex 2]],GroupVertices[Vertex],0)),1,1,"")</f>
        <v>3</v>
      </c>
      <c r="S57" s="34"/>
      <c r="T57" s="34"/>
      <c r="U57" s="34"/>
      <c r="V57" s="34"/>
      <c r="W57" s="34"/>
      <c r="X57" s="34"/>
      <c r="Y57" s="34"/>
      <c r="Z57" s="34"/>
      <c r="AA57" s="34"/>
    </row>
    <row r="58" spans="1:27" ht="15">
      <c r="A58" s="65" t="s">
        <v>216</v>
      </c>
      <c r="B58" s="65" t="s">
        <v>282</v>
      </c>
      <c r="C58" s="66" t="s">
        <v>2751</v>
      </c>
      <c r="D58" s="67">
        <v>3</v>
      </c>
      <c r="E58" s="68"/>
      <c r="F58" s="69">
        <v>50</v>
      </c>
      <c r="G58" s="66"/>
      <c r="H58" s="70"/>
      <c r="I58" s="71"/>
      <c r="J58" s="71"/>
      <c r="K58" s="34" t="s">
        <v>65</v>
      </c>
      <c r="L58" s="78">
        <v>58</v>
      </c>
      <c r="M58" s="78"/>
      <c r="N58" s="73"/>
      <c r="O58" s="89" t="s">
        <v>494</v>
      </c>
      <c r="P58">
        <v>1</v>
      </c>
      <c r="Q58" s="88" t="str">
        <f>REPLACE(INDEX(GroupVertices[Group],MATCH(Edges[[#This Row],[Vertex 1]],GroupVertices[Vertex],0)),1,1,"")</f>
        <v>3</v>
      </c>
      <c r="R58" s="88" t="str">
        <f>REPLACE(INDEX(GroupVertices[Group],MATCH(Edges[[#This Row],[Vertex 2]],GroupVertices[Vertex],0)),1,1,"")</f>
        <v>3</v>
      </c>
      <c r="S58" s="34"/>
      <c r="T58" s="34"/>
      <c r="U58" s="34"/>
      <c r="V58" s="34"/>
      <c r="W58" s="34"/>
      <c r="X58" s="34"/>
      <c r="Y58" s="34"/>
      <c r="Z58" s="34"/>
      <c r="AA58" s="34"/>
    </row>
    <row r="59" spans="1:27" ht="15">
      <c r="A59" s="65" t="s">
        <v>216</v>
      </c>
      <c r="B59" s="65" t="s">
        <v>283</v>
      </c>
      <c r="C59" s="66" t="s">
        <v>2751</v>
      </c>
      <c r="D59" s="67">
        <v>3</v>
      </c>
      <c r="E59" s="68"/>
      <c r="F59" s="69">
        <v>50</v>
      </c>
      <c r="G59" s="66"/>
      <c r="H59" s="70"/>
      <c r="I59" s="71"/>
      <c r="J59" s="71"/>
      <c r="K59" s="34" t="s">
        <v>65</v>
      </c>
      <c r="L59" s="78">
        <v>59</v>
      </c>
      <c r="M59" s="78"/>
      <c r="N59" s="73"/>
      <c r="O59" s="89" t="s">
        <v>494</v>
      </c>
      <c r="P59">
        <v>1</v>
      </c>
      <c r="Q59" s="88" t="str">
        <f>REPLACE(INDEX(GroupVertices[Group],MATCH(Edges[[#This Row],[Vertex 1]],GroupVertices[Vertex],0)),1,1,"")</f>
        <v>3</v>
      </c>
      <c r="R59" s="88" t="str">
        <f>REPLACE(INDEX(GroupVertices[Group],MATCH(Edges[[#This Row],[Vertex 2]],GroupVertices[Vertex],0)),1,1,"")</f>
        <v>3</v>
      </c>
      <c r="S59" s="34"/>
      <c r="T59" s="34"/>
      <c r="U59" s="34"/>
      <c r="V59" s="34"/>
      <c r="W59" s="34"/>
      <c r="X59" s="34"/>
      <c r="Y59" s="34"/>
      <c r="Z59" s="34"/>
      <c r="AA59" s="34"/>
    </row>
    <row r="60" spans="1:27" ht="15">
      <c r="A60" s="65" t="s">
        <v>216</v>
      </c>
      <c r="B60" s="65" t="s">
        <v>284</v>
      </c>
      <c r="C60" s="66" t="s">
        <v>2751</v>
      </c>
      <c r="D60" s="67">
        <v>3</v>
      </c>
      <c r="E60" s="68"/>
      <c r="F60" s="69">
        <v>50</v>
      </c>
      <c r="G60" s="66"/>
      <c r="H60" s="70"/>
      <c r="I60" s="71"/>
      <c r="J60" s="71"/>
      <c r="K60" s="34" t="s">
        <v>65</v>
      </c>
      <c r="L60" s="78">
        <v>60</v>
      </c>
      <c r="M60" s="78"/>
      <c r="N60" s="73"/>
      <c r="O60" s="89" t="s">
        <v>494</v>
      </c>
      <c r="P60">
        <v>1</v>
      </c>
      <c r="Q60" s="88" t="str">
        <f>REPLACE(INDEX(GroupVertices[Group],MATCH(Edges[[#This Row],[Vertex 1]],GroupVertices[Vertex],0)),1,1,"")</f>
        <v>3</v>
      </c>
      <c r="R60" s="88" t="str">
        <f>REPLACE(INDEX(GroupVertices[Group],MATCH(Edges[[#This Row],[Vertex 2]],GroupVertices[Vertex],0)),1,1,"")</f>
        <v>3</v>
      </c>
      <c r="S60" s="34"/>
      <c r="T60" s="34"/>
      <c r="U60" s="34"/>
      <c r="V60" s="34"/>
      <c r="W60" s="34"/>
      <c r="X60" s="34"/>
      <c r="Y60" s="34"/>
      <c r="Z60" s="34"/>
      <c r="AA60" s="34"/>
    </row>
    <row r="61" spans="1:27" ht="15">
      <c r="A61" s="65" t="s">
        <v>216</v>
      </c>
      <c r="B61" s="65" t="s">
        <v>285</v>
      </c>
      <c r="C61" s="66" t="s">
        <v>2751</v>
      </c>
      <c r="D61" s="67">
        <v>3</v>
      </c>
      <c r="E61" s="68"/>
      <c r="F61" s="69">
        <v>50</v>
      </c>
      <c r="G61" s="66"/>
      <c r="H61" s="70"/>
      <c r="I61" s="71"/>
      <c r="J61" s="71"/>
      <c r="K61" s="34" t="s">
        <v>65</v>
      </c>
      <c r="L61" s="78">
        <v>61</v>
      </c>
      <c r="M61" s="78"/>
      <c r="N61" s="73"/>
      <c r="O61" s="89" t="s">
        <v>494</v>
      </c>
      <c r="P61">
        <v>1</v>
      </c>
      <c r="Q61" s="88" t="str">
        <f>REPLACE(INDEX(GroupVertices[Group],MATCH(Edges[[#This Row],[Vertex 1]],GroupVertices[Vertex],0)),1,1,"")</f>
        <v>3</v>
      </c>
      <c r="R61" s="88" t="str">
        <f>REPLACE(INDEX(GroupVertices[Group],MATCH(Edges[[#This Row],[Vertex 2]],GroupVertices[Vertex],0)),1,1,"")</f>
        <v>3</v>
      </c>
      <c r="S61" s="34"/>
      <c r="T61" s="34"/>
      <c r="U61" s="34"/>
      <c r="V61" s="34"/>
      <c r="W61" s="34"/>
      <c r="X61" s="34"/>
      <c r="Y61" s="34"/>
      <c r="Z61" s="34"/>
      <c r="AA61" s="34"/>
    </row>
    <row r="62" spans="1:27" ht="15">
      <c r="A62" s="65" t="s">
        <v>216</v>
      </c>
      <c r="B62" s="65" t="s">
        <v>247</v>
      </c>
      <c r="C62" s="66" t="s">
        <v>2751</v>
      </c>
      <c r="D62" s="67">
        <v>3</v>
      </c>
      <c r="E62" s="68"/>
      <c r="F62" s="69">
        <v>50</v>
      </c>
      <c r="G62" s="66"/>
      <c r="H62" s="70"/>
      <c r="I62" s="71"/>
      <c r="J62" s="71"/>
      <c r="K62" s="34" t="s">
        <v>65</v>
      </c>
      <c r="L62" s="78">
        <v>62</v>
      </c>
      <c r="M62" s="78"/>
      <c r="N62" s="73"/>
      <c r="O62" s="89" t="s">
        <v>494</v>
      </c>
      <c r="P62">
        <v>1</v>
      </c>
      <c r="Q62" s="88" t="str">
        <f>REPLACE(INDEX(GroupVertices[Group],MATCH(Edges[[#This Row],[Vertex 1]],GroupVertices[Vertex],0)),1,1,"")</f>
        <v>3</v>
      </c>
      <c r="R62" s="88" t="str">
        <f>REPLACE(INDEX(GroupVertices[Group],MATCH(Edges[[#This Row],[Vertex 2]],GroupVertices[Vertex],0)),1,1,"")</f>
        <v>3</v>
      </c>
      <c r="S62" s="34"/>
      <c r="T62" s="34"/>
      <c r="U62" s="34"/>
      <c r="V62" s="34"/>
      <c r="W62" s="34"/>
      <c r="X62" s="34"/>
      <c r="Y62" s="34"/>
      <c r="Z62" s="34"/>
      <c r="AA62" s="34"/>
    </row>
    <row r="63" spans="1:27" ht="15">
      <c r="A63" s="65" t="s">
        <v>217</v>
      </c>
      <c r="B63" s="65" t="s">
        <v>286</v>
      </c>
      <c r="C63" s="66" t="s">
        <v>2751</v>
      </c>
      <c r="D63" s="67">
        <v>3</v>
      </c>
      <c r="E63" s="68"/>
      <c r="F63" s="69">
        <v>50</v>
      </c>
      <c r="G63" s="66"/>
      <c r="H63" s="70"/>
      <c r="I63" s="71"/>
      <c r="J63" s="71"/>
      <c r="K63" s="34" t="s">
        <v>65</v>
      </c>
      <c r="L63" s="78">
        <v>63</v>
      </c>
      <c r="M63" s="78"/>
      <c r="N63" s="73"/>
      <c r="O63" s="89" t="s">
        <v>494</v>
      </c>
      <c r="P63">
        <v>1</v>
      </c>
      <c r="Q63" s="88" t="str">
        <f>REPLACE(INDEX(GroupVertices[Group],MATCH(Edges[[#This Row],[Vertex 1]],GroupVertices[Vertex],0)),1,1,"")</f>
        <v>4</v>
      </c>
      <c r="R63" s="88" t="str">
        <f>REPLACE(INDEX(GroupVertices[Group],MATCH(Edges[[#This Row],[Vertex 2]],GroupVertices[Vertex],0)),1,1,"")</f>
        <v>4</v>
      </c>
      <c r="S63" s="34"/>
      <c r="T63" s="34"/>
      <c r="U63" s="34"/>
      <c r="V63" s="34"/>
      <c r="W63" s="34"/>
      <c r="X63" s="34"/>
      <c r="Y63" s="34"/>
      <c r="Z63" s="34"/>
      <c r="AA63" s="34"/>
    </row>
    <row r="64" spans="1:27" ht="15">
      <c r="A64" s="65" t="s">
        <v>217</v>
      </c>
      <c r="B64" s="65" t="s">
        <v>287</v>
      </c>
      <c r="C64" s="66" t="s">
        <v>2751</v>
      </c>
      <c r="D64" s="67">
        <v>3</v>
      </c>
      <c r="E64" s="68"/>
      <c r="F64" s="69">
        <v>50</v>
      </c>
      <c r="G64" s="66"/>
      <c r="H64" s="70"/>
      <c r="I64" s="71"/>
      <c r="J64" s="71"/>
      <c r="K64" s="34" t="s">
        <v>65</v>
      </c>
      <c r="L64" s="78">
        <v>64</v>
      </c>
      <c r="M64" s="78"/>
      <c r="N64" s="73"/>
      <c r="O64" s="89" t="s">
        <v>494</v>
      </c>
      <c r="P64">
        <v>1</v>
      </c>
      <c r="Q64" s="88" t="str">
        <f>REPLACE(INDEX(GroupVertices[Group],MATCH(Edges[[#This Row],[Vertex 1]],GroupVertices[Vertex],0)),1,1,"")</f>
        <v>4</v>
      </c>
      <c r="R64" s="88" t="str">
        <f>REPLACE(INDEX(GroupVertices[Group],MATCH(Edges[[#This Row],[Vertex 2]],GroupVertices[Vertex],0)),1,1,"")</f>
        <v>4</v>
      </c>
      <c r="S64" s="34"/>
      <c r="T64" s="34"/>
      <c r="U64" s="34"/>
      <c r="V64" s="34"/>
      <c r="W64" s="34"/>
      <c r="X64" s="34"/>
      <c r="Y64" s="34"/>
      <c r="Z64" s="34"/>
      <c r="AA64" s="34"/>
    </row>
    <row r="65" spans="1:27" ht="15">
      <c r="A65" s="65" t="s">
        <v>217</v>
      </c>
      <c r="B65" s="65" t="s">
        <v>288</v>
      </c>
      <c r="C65" s="66" t="s">
        <v>2751</v>
      </c>
      <c r="D65" s="67">
        <v>3</v>
      </c>
      <c r="E65" s="68"/>
      <c r="F65" s="69">
        <v>50</v>
      </c>
      <c r="G65" s="66"/>
      <c r="H65" s="70"/>
      <c r="I65" s="71"/>
      <c r="J65" s="71"/>
      <c r="K65" s="34" t="s">
        <v>65</v>
      </c>
      <c r="L65" s="78">
        <v>65</v>
      </c>
      <c r="M65" s="78"/>
      <c r="N65" s="73"/>
      <c r="O65" s="89" t="s">
        <v>494</v>
      </c>
      <c r="P65">
        <v>1</v>
      </c>
      <c r="Q65" s="88" t="str">
        <f>REPLACE(INDEX(GroupVertices[Group],MATCH(Edges[[#This Row],[Vertex 1]],GroupVertices[Vertex],0)),1,1,"")</f>
        <v>4</v>
      </c>
      <c r="R65" s="88" t="str">
        <f>REPLACE(INDEX(GroupVertices[Group],MATCH(Edges[[#This Row],[Vertex 2]],GroupVertices[Vertex],0)),1,1,"")</f>
        <v>4</v>
      </c>
      <c r="S65" s="34"/>
      <c r="T65" s="34"/>
      <c r="U65" s="34"/>
      <c r="V65" s="34"/>
      <c r="W65" s="34"/>
      <c r="X65" s="34"/>
      <c r="Y65" s="34"/>
      <c r="Z65" s="34"/>
      <c r="AA65" s="34"/>
    </row>
    <row r="66" spans="1:27" ht="15">
      <c r="A66" s="65" t="s">
        <v>217</v>
      </c>
      <c r="B66" s="65" t="s">
        <v>289</v>
      </c>
      <c r="C66" s="66" t="s">
        <v>2751</v>
      </c>
      <c r="D66" s="67">
        <v>3</v>
      </c>
      <c r="E66" s="68"/>
      <c r="F66" s="69">
        <v>50</v>
      </c>
      <c r="G66" s="66"/>
      <c r="H66" s="70"/>
      <c r="I66" s="71"/>
      <c r="J66" s="71"/>
      <c r="K66" s="34" t="s">
        <v>65</v>
      </c>
      <c r="L66" s="78">
        <v>66</v>
      </c>
      <c r="M66" s="78"/>
      <c r="N66" s="73"/>
      <c r="O66" s="89" t="s">
        <v>494</v>
      </c>
      <c r="P66">
        <v>1</v>
      </c>
      <c r="Q66" s="88" t="str">
        <f>REPLACE(INDEX(GroupVertices[Group],MATCH(Edges[[#This Row],[Vertex 1]],GroupVertices[Vertex],0)),1,1,"")</f>
        <v>4</v>
      </c>
      <c r="R66" s="88" t="str">
        <f>REPLACE(INDEX(GroupVertices[Group],MATCH(Edges[[#This Row],[Vertex 2]],GroupVertices[Vertex],0)),1,1,"")</f>
        <v>4</v>
      </c>
      <c r="S66" s="34"/>
      <c r="T66" s="34"/>
      <c r="U66" s="34"/>
      <c r="V66" s="34"/>
      <c r="W66" s="34"/>
      <c r="X66" s="34"/>
      <c r="Y66" s="34"/>
      <c r="Z66" s="34"/>
      <c r="AA66" s="34"/>
    </row>
    <row r="67" spans="1:27" ht="15">
      <c r="A67" s="65" t="s">
        <v>217</v>
      </c>
      <c r="B67" s="65" t="s">
        <v>290</v>
      </c>
      <c r="C67" s="66" t="s">
        <v>2751</v>
      </c>
      <c r="D67" s="67">
        <v>3</v>
      </c>
      <c r="E67" s="68"/>
      <c r="F67" s="69">
        <v>50</v>
      </c>
      <c r="G67" s="66"/>
      <c r="H67" s="70"/>
      <c r="I67" s="71"/>
      <c r="J67" s="71"/>
      <c r="K67" s="34" t="s">
        <v>65</v>
      </c>
      <c r="L67" s="78">
        <v>67</v>
      </c>
      <c r="M67" s="78"/>
      <c r="N67" s="73"/>
      <c r="O67" s="89" t="s">
        <v>494</v>
      </c>
      <c r="P67">
        <v>1</v>
      </c>
      <c r="Q67" s="88" t="str">
        <f>REPLACE(INDEX(GroupVertices[Group],MATCH(Edges[[#This Row],[Vertex 1]],GroupVertices[Vertex],0)),1,1,"")</f>
        <v>4</v>
      </c>
      <c r="R67" s="88" t="str">
        <f>REPLACE(INDEX(GroupVertices[Group],MATCH(Edges[[#This Row],[Vertex 2]],GroupVertices[Vertex],0)),1,1,"")</f>
        <v>4</v>
      </c>
      <c r="S67" s="34"/>
      <c r="T67" s="34"/>
      <c r="U67" s="34"/>
      <c r="V67" s="34"/>
      <c r="W67" s="34"/>
      <c r="X67" s="34"/>
      <c r="Y67" s="34"/>
      <c r="Z67" s="34"/>
      <c r="AA67" s="34"/>
    </row>
    <row r="68" spans="1:27" ht="15">
      <c r="A68" s="65" t="s">
        <v>217</v>
      </c>
      <c r="B68" s="65" t="s">
        <v>291</v>
      </c>
      <c r="C68" s="66" t="s">
        <v>2751</v>
      </c>
      <c r="D68" s="67">
        <v>3</v>
      </c>
      <c r="E68" s="68"/>
      <c r="F68" s="69">
        <v>50</v>
      </c>
      <c r="G68" s="66"/>
      <c r="H68" s="70"/>
      <c r="I68" s="71"/>
      <c r="J68" s="71"/>
      <c r="K68" s="34" t="s">
        <v>65</v>
      </c>
      <c r="L68" s="78">
        <v>68</v>
      </c>
      <c r="M68" s="78"/>
      <c r="N68" s="73"/>
      <c r="O68" s="89" t="s">
        <v>494</v>
      </c>
      <c r="P68">
        <v>1</v>
      </c>
      <c r="Q68" s="88" t="str">
        <f>REPLACE(INDEX(GroupVertices[Group],MATCH(Edges[[#This Row],[Vertex 1]],GroupVertices[Vertex],0)),1,1,"")</f>
        <v>4</v>
      </c>
      <c r="R68" s="88" t="str">
        <f>REPLACE(INDEX(GroupVertices[Group],MATCH(Edges[[#This Row],[Vertex 2]],GroupVertices[Vertex],0)),1,1,"")</f>
        <v>4</v>
      </c>
      <c r="S68" s="34"/>
      <c r="T68" s="34"/>
      <c r="U68" s="34"/>
      <c r="V68" s="34"/>
      <c r="W68" s="34"/>
      <c r="X68" s="34"/>
      <c r="Y68" s="34"/>
      <c r="Z68" s="34"/>
      <c r="AA68" s="34"/>
    </row>
    <row r="69" spans="1:27" ht="15">
      <c r="A69" s="65" t="s">
        <v>217</v>
      </c>
      <c r="B69" s="65" t="s">
        <v>292</v>
      </c>
      <c r="C69" s="66" t="s">
        <v>2751</v>
      </c>
      <c r="D69" s="67">
        <v>3</v>
      </c>
      <c r="E69" s="68"/>
      <c r="F69" s="69">
        <v>50</v>
      </c>
      <c r="G69" s="66"/>
      <c r="H69" s="70"/>
      <c r="I69" s="71"/>
      <c r="J69" s="71"/>
      <c r="K69" s="34" t="s">
        <v>65</v>
      </c>
      <c r="L69" s="78">
        <v>69</v>
      </c>
      <c r="M69" s="78"/>
      <c r="N69" s="73"/>
      <c r="O69" s="89" t="s">
        <v>494</v>
      </c>
      <c r="P69">
        <v>1</v>
      </c>
      <c r="Q69" s="88" t="str">
        <f>REPLACE(INDEX(GroupVertices[Group],MATCH(Edges[[#This Row],[Vertex 1]],GroupVertices[Vertex],0)),1,1,"")</f>
        <v>4</v>
      </c>
      <c r="R69" s="88" t="str">
        <f>REPLACE(INDEX(GroupVertices[Group],MATCH(Edges[[#This Row],[Vertex 2]],GroupVertices[Vertex],0)),1,1,"")</f>
        <v>4</v>
      </c>
      <c r="S69" s="34"/>
      <c r="T69" s="34"/>
      <c r="U69" s="34"/>
      <c r="V69" s="34"/>
      <c r="W69" s="34"/>
      <c r="X69" s="34"/>
      <c r="Y69" s="34"/>
      <c r="Z69" s="34"/>
      <c r="AA69" s="34"/>
    </row>
    <row r="70" spans="1:27" ht="15">
      <c r="A70" s="65" t="s">
        <v>217</v>
      </c>
      <c r="B70" s="65" t="s">
        <v>293</v>
      </c>
      <c r="C70" s="66" t="s">
        <v>2751</v>
      </c>
      <c r="D70" s="67">
        <v>3</v>
      </c>
      <c r="E70" s="68"/>
      <c r="F70" s="69">
        <v>50</v>
      </c>
      <c r="G70" s="66"/>
      <c r="H70" s="70"/>
      <c r="I70" s="71"/>
      <c r="J70" s="71"/>
      <c r="K70" s="34" t="s">
        <v>65</v>
      </c>
      <c r="L70" s="78">
        <v>70</v>
      </c>
      <c r="M70" s="78"/>
      <c r="N70" s="73"/>
      <c r="O70" s="89" t="s">
        <v>494</v>
      </c>
      <c r="P70">
        <v>1</v>
      </c>
      <c r="Q70" s="88" t="str">
        <f>REPLACE(INDEX(GroupVertices[Group],MATCH(Edges[[#This Row],[Vertex 1]],GroupVertices[Vertex],0)),1,1,"")</f>
        <v>4</v>
      </c>
      <c r="R70" s="88" t="str">
        <f>REPLACE(INDEX(GroupVertices[Group],MATCH(Edges[[#This Row],[Vertex 2]],GroupVertices[Vertex],0)),1,1,"")</f>
        <v>4</v>
      </c>
      <c r="S70" s="34"/>
      <c r="T70" s="34"/>
      <c r="U70" s="34"/>
      <c r="V70" s="34"/>
      <c r="W70" s="34"/>
      <c r="X70" s="34"/>
      <c r="Y70" s="34"/>
      <c r="Z70" s="34"/>
      <c r="AA70" s="34"/>
    </row>
    <row r="71" spans="1:27" ht="15">
      <c r="A71" s="65" t="s">
        <v>217</v>
      </c>
      <c r="B71" s="65" t="s">
        <v>294</v>
      </c>
      <c r="C71" s="66" t="s">
        <v>2751</v>
      </c>
      <c r="D71" s="67">
        <v>3</v>
      </c>
      <c r="E71" s="68"/>
      <c r="F71" s="69">
        <v>50</v>
      </c>
      <c r="G71" s="66"/>
      <c r="H71" s="70"/>
      <c r="I71" s="71"/>
      <c r="J71" s="71"/>
      <c r="K71" s="34" t="s">
        <v>65</v>
      </c>
      <c r="L71" s="78">
        <v>71</v>
      </c>
      <c r="M71" s="78"/>
      <c r="N71" s="73"/>
      <c r="O71" s="89" t="s">
        <v>494</v>
      </c>
      <c r="P71">
        <v>1</v>
      </c>
      <c r="Q71" s="88" t="str">
        <f>REPLACE(INDEX(GroupVertices[Group],MATCH(Edges[[#This Row],[Vertex 1]],GroupVertices[Vertex],0)),1,1,"")</f>
        <v>4</v>
      </c>
      <c r="R71" s="88" t="str">
        <f>REPLACE(INDEX(GroupVertices[Group],MATCH(Edges[[#This Row],[Vertex 2]],GroupVertices[Vertex],0)),1,1,"")</f>
        <v>4</v>
      </c>
      <c r="S71" s="34"/>
      <c r="T71" s="34"/>
      <c r="U71" s="34"/>
      <c r="V71" s="34"/>
      <c r="W71" s="34"/>
      <c r="X71" s="34"/>
      <c r="Y71" s="34"/>
      <c r="Z71" s="34"/>
      <c r="AA71" s="34"/>
    </row>
    <row r="72" spans="1:27" ht="15">
      <c r="A72" s="65" t="s">
        <v>217</v>
      </c>
      <c r="B72" s="65" t="s">
        <v>295</v>
      </c>
      <c r="C72" s="66" t="s">
        <v>2751</v>
      </c>
      <c r="D72" s="67">
        <v>3</v>
      </c>
      <c r="E72" s="68"/>
      <c r="F72" s="69">
        <v>50</v>
      </c>
      <c r="G72" s="66"/>
      <c r="H72" s="70"/>
      <c r="I72" s="71"/>
      <c r="J72" s="71"/>
      <c r="K72" s="34" t="s">
        <v>65</v>
      </c>
      <c r="L72" s="78">
        <v>72</v>
      </c>
      <c r="M72" s="78"/>
      <c r="N72" s="73"/>
      <c r="O72" s="89" t="s">
        <v>494</v>
      </c>
      <c r="P72">
        <v>1</v>
      </c>
      <c r="Q72" s="88" t="str">
        <f>REPLACE(INDEX(GroupVertices[Group],MATCH(Edges[[#This Row],[Vertex 1]],GroupVertices[Vertex],0)),1,1,"")</f>
        <v>4</v>
      </c>
      <c r="R72" s="88" t="str">
        <f>REPLACE(INDEX(GroupVertices[Group],MATCH(Edges[[#This Row],[Vertex 2]],GroupVertices[Vertex],0)),1,1,"")</f>
        <v>4</v>
      </c>
      <c r="S72" s="34"/>
      <c r="T72" s="34"/>
      <c r="U72" s="34"/>
      <c r="V72" s="34"/>
      <c r="W72" s="34"/>
      <c r="X72" s="34"/>
      <c r="Y72" s="34"/>
      <c r="Z72" s="34"/>
      <c r="AA72" s="34"/>
    </row>
    <row r="73" spans="1:27" ht="15">
      <c r="A73" s="65" t="s">
        <v>218</v>
      </c>
      <c r="B73" s="65" t="s">
        <v>296</v>
      </c>
      <c r="C73" s="66" t="s">
        <v>2751</v>
      </c>
      <c r="D73" s="67">
        <v>3</v>
      </c>
      <c r="E73" s="68"/>
      <c r="F73" s="69">
        <v>50</v>
      </c>
      <c r="G73" s="66"/>
      <c r="H73" s="70"/>
      <c r="I73" s="71"/>
      <c r="J73" s="71"/>
      <c r="K73" s="34" t="s">
        <v>65</v>
      </c>
      <c r="L73" s="78">
        <v>73</v>
      </c>
      <c r="M73" s="78"/>
      <c r="N73" s="73"/>
      <c r="O73" s="89" t="s">
        <v>494</v>
      </c>
      <c r="P73">
        <v>1</v>
      </c>
      <c r="Q73" s="88" t="str">
        <f>REPLACE(INDEX(GroupVertices[Group],MATCH(Edges[[#This Row],[Vertex 1]],GroupVertices[Vertex],0)),1,1,"")</f>
        <v>2</v>
      </c>
      <c r="R73" s="88" t="str">
        <f>REPLACE(INDEX(GroupVertices[Group],MATCH(Edges[[#This Row],[Vertex 2]],GroupVertices[Vertex],0)),1,1,"")</f>
        <v>2</v>
      </c>
      <c r="S73" s="34"/>
      <c r="T73" s="34"/>
      <c r="U73" s="34"/>
      <c r="V73" s="34"/>
      <c r="W73" s="34"/>
      <c r="X73" s="34"/>
      <c r="Y73" s="34"/>
      <c r="Z73" s="34"/>
      <c r="AA73" s="34"/>
    </row>
    <row r="74" spans="1:27" ht="15">
      <c r="A74" s="65" t="s">
        <v>218</v>
      </c>
      <c r="B74" s="65" t="s">
        <v>297</v>
      </c>
      <c r="C74" s="66" t="s">
        <v>2751</v>
      </c>
      <c r="D74" s="67">
        <v>3</v>
      </c>
      <c r="E74" s="68"/>
      <c r="F74" s="69">
        <v>50</v>
      </c>
      <c r="G74" s="66"/>
      <c r="H74" s="70"/>
      <c r="I74" s="71"/>
      <c r="J74" s="71"/>
      <c r="K74" s="34" t="s">
        <v>65</v>
      </c>
      <c r="L74" s="78">
        <v>74</v>
      </c>
      <c r="M74" s="78"/>
      <c r="N74" s="73"/>
      <c r="O74" s="89" t="s">
        <v>494</v>
      </c>
      <c r="P74">
        <v>1</v>
      </c>
      <c r="Q74" s="88" t="str">
        <f>REPLACE(INDEX(GroupVertices[Group],MATCH(Edges[[#This Row],[Vertex 1]],GroupVertices[Vertex],0)),1,1,"")</f>
        <v>2</v>
      </c>
      <c r="R74" s="88" t="str">
        <f>REPLACE(INDEX(GroupVertices[Group],MATCH(Edges[[#This Row],[Vertex 2]],GroupVertices[Vertex],0)),1,1,"")</f>
        <v>2</v>
      </c>
      <c r="S74" s="34"/>
      <c r="T74" s="34"/>
      <c r="U74" s="34"/>
      <c r="V74" s="34"/>
      <c r="W74" s="34"/>
      <c r="X74" s="34"/>
      <c r="Y74" s="34"/>
      <c r="Z74" s="34"/>
      <c r="AA74" s="34"/>
    </row>
    <row r="75" spans="1:27" ht="15">
      <c r="A75" s="65" t="s">
        <v>218</v>
      </c>
      <c r="B75" s="65" t="s">
        <v>249</v>
      </c>
      <c r="C75" s="66" t="s">
        <v>2751</v>
      </c>
      <c r="D75" s="67">
        <v>3</v>
      </c>
      <c r="E75" s="68"/>
      <c r="F75" s="69">
        <v>50</v>
      </c>
      <c r="G75" s="66"/>
      <c r="H75" s="70"/>
      <c r="I75" s="71"/>
      <c r="J75" s="71"/>
      <c r="K75" s="34" t="s">
        <v>65</v>
      </c>
      <c r="L75" s="78">
        <v>75</v>
      </c>
      <c r="M75" s="78"/>
      <c r="N75" s="73"/>
      <c r="O75" s="89" t="s">
        <v>494</v>
      </c>
      <c r="P75">
        <v>1</v>
      </c>
      <c r="Q75" s="88" t="str">
        <f>REPLACE(INDEX(GroupVertices[Group],MATCH(Edges[[#This Row],[Vertex 1]],GroupVertices[Vertex],0)),1,1,"")</f>
        <v>2</v>
      </c>
      <c r="R75" s="88" t="str">
        <f>REPLACE(INDEX(GroupVertices[Group],MATCH(Edges[[#This Row],[Vertex 2]],GroupVertices[Vertex],0)),1,1,"")</f>
        <v>3</v>
      </c>
      <c r="S75" s="34"/>
      <c r="T75" s="34"/>
      <c r="U75" s="34"/>
      <c r="V75" s="34"/>
      <c r="W75" s="34"/>
      <c r="X75" s="34"/>
      <c r="Y75" s="34"/>
      <c r="Z75" s="34"/>
      <c r="AA75" s="34"/>
    </row>
    <row r="76" spans="1:27" ht="15">
      <c r="A76" s="65" t="s">
        <v>219</v>
      </c>
      <c r="B76" s="65" t="s">
        <v>298</v>
      </c>
      <c r="C76" s="66" t="s">
        <v>2751</v>
      </c>
      <c r="D76" s="67">
        <v>3</v>
      </c>
      <c r="E76" s="68"/>
      <c r="F76" s="69">
        <v>50</v>
      </c>
      <c r="G76" s="66"/>
      <c r="H76" s="70"/>
      <c r="I76" s="71"/>
      <c r="J76" s="71"/>
      <c r="K76" s="34" t="s">
        <v>65</v>
      </c>
      <c r="L76" s="78">
        <v>76</v>
      </c>
      <c r="M76" s="78"/>
      <c r="N76" s="73"/>
      <c r="O76" s="89" t="s">
        <v>494</v>
      </c>
      <c r="P76">
        <v>1</v>
      </c>
      <c r="Q76" s="88" t="str">
        <f>REPLACE(INDEX(GroupVertices[Group],MATCH(Edges[[#This Row],[Vertex 1]],GroupVertices[Vertex],0)),1,1,"")</f>
        <v>4</v>
      </c>
      <c r="R76" s="88" t="str">
        <f>REPLACE(INDEX(GroupVertices[Group],MATCH(Edges[[#This Row],[Vertex 2]],GroupVertices[Vertex],0)),1,1,"")</f>
        <v>4</v>
      </c>
      <c r="S76" s="34"/>
      <c r="T76" s="34"/>
      <c r="U76" s="34"/>
      <c r="V76" s="34"/>
      <c r="W76" s="34"/>
      <c r="X76" s="34"/>
      <c r="Y76" s="34"/>
      <c r="Z76" s="34"/>
      <c r="AA76" s="34"/>
    </row>
    <row r="77" spans="1:27" ht="15">
      <c r="A77" s="65" t="s">
        <v>219</v>
      </c>
      <c r="B77" s="65" t="s">
        <v>299</v>
      </c>
      <c r="C77" s="66" t="s">
        <v>2751</v>
      </c>
      <c r="D77" s="67">
        <v>3</v>
      </c>
      <c r="E77" s="68"/>
      <c r="F77" s="69">
        <v>50</v>
      </c>
      <c r="G77" s="66"/>
      <c r="H77" s="70"/>
      <c r="I77" s="71"/>
      <c r="J77" s="71"/>
      <c r="K77" s="34" t="s">
        <v>65</v>
      </c>
      <c r="L77" s="78">
        <v>77</v>
      </c>
      <c r="M77" s="78"/>
      <c r="N77" s="73"/>
      <c r="O77" s="89" t="s">
        <v>494</v>
      </c>
      <c r="P77">
        <v>1</v>
      </c>
      <c r="Q77" s="88" t="str">
        <f>REPLACE(INDEX(GroupVertices[Group],MATCH(Edges[[#This Row],[Vertex 1]],GroupVertices[Vertex],0)),1,1,"")</f>
        <v>4</v>
      </c>
      <c r="R77" s="88" t="str">
        <f>REPLACE(INDEX(GroupVertices[Group],MATCH(Edges[[#This Row],[Vertex 2]],GroupVertices[Vertex],0)),1,1,"")</f>
        <v>4</v>
      </c>
      <c r="S77" s="34"/>
      <c r="T77" s="34"/>
      <c r="U77" s="34"/>
      <c r="V77" s="34"/>
      <c r="W77" s="34"/>
      <c r="X77" s="34"/>
      <c r="Y77" s="34"/>
      <c r="Z77" s="34"/>
      <c r="AA77" s="34"/>
    </row>
    <row r="78" spans="1:27" ht="15">
      <c r="A78" s="65" t="s">
        <v>219</v>
      </c>
      <c r="B78" s="65" t="s">
        <v>300</v>
      </c>
      <c r="C78" s="66" t="s">
        <v>2751</v>
      </c>
      <c r="D78" s="67">
        <v>3</v>
      </c>
      <c r="E78" s="68"/>
      <c r="F78" s="69">
        <v>50</v>
      </c>
      <c r="G78" s="66"/>
      <c r="H78" s="70"/>
      <c r="I78" s="71"/>
      <c r="J78" s="71"/>
      <c r="K78" s="34" t="s">
        <v>65</v>
      </c>
      <c r="L78" s="78">
        <v>78</v>
      </c>
      <c r="M78" s="78"/>
      <c r="N78" s="73"/>
      <c r="O78" s="89" t="s">
        <v>494</v>
      </c>
      <c r="P78">
        <v>1</v>
      </c>
      <c r="Q78" s="88" t="str">
        <f>REPLACE(INDEX(GroupVertices[Group],MATCH(Edges[[#This Row],[Vertex 1]],GroupVertices[Vertex],0)),1,1,"")</f>
        <v>4</v>
      </c>
      <c r="R78" s="88" t="str">
        <f>REPLACE(INDEX(GroupVertices[Group],MATCH(Edges[[#This Row],[Vertex 2]],GroupVertices[Vertex],0)),1,1,"")</f>
        <v>4</v>
      </c>
      <c r="S78" s="34"/>
      <c r="T78" s="34"/>
      <c r="U78" s="34"/>
      <c r="V78" s="34"/>
      <c r="W78" s="34"/>
      <c r="X78" s="34"/>
      <c r="Y78" s="34"/>
      <c r="Z78" s="34"/>
      <c r="AA78" s="34"/>
    </row>
    <row r="79" spans="1:27" ht="15">
      <c r="A79" s="65" t="s">
        <v>219</v>
      </c>
      <c r="B79" s="65" t="s">
        <v>301</v>
      </c>
      <c r="C79" s="66" t="s">
        <v>2751</v>
      </c>
      <c r="D79" s="67">
        <v>3</v>
      </c>
      <c r="E79" s="68"/>
      <c r="F79" s="69">
        <v>50</v>
      </c>
      <c r="G79" s="66"/>
      <c r="H79" s="70"/>
      <c r="I79" s="71"/>
      <c r="J79" s="71"/>
      <c r="K79" s="34" t="s">
        <v>65</v>
      </c>
      <c r="L79" s="78">
        <v>79</v>
      </c>
      <c r="M79" s="78"/>
      <c r="N79" s="73"/>
      <c r="O79" s="89" t="s">
        <v>494</v>
      </c>
      <c r="P79">
        <v>1</v>
      </c>
      <c r="Q79" s="88" t="str">
        <f>REPLACE(INDEX(GroupVertices[Group],MATCH(Edges[[#This Row],[Vertex 1]],GroupVertices[Vertex],0)),1,1,"")</f>
        <v>4</v>
      </c>
      <c r="R79" s="88" t="str">
        <f>REPLACE(INDEX(GroupVertices[Group],MATCH(Edges[[#This Row],[Vertex 2]],GroupVertices[Vertex],0)),1,1,"")</f>
        <v>4</v>
      </c>
      <c r="S79" s="34"/>
      <c r="T79" s="34"/>
      <c r="U79" s="34"/>
      <c r="V79" s="34"/>
      <c r="W79" s="34"/>
      <c r="X79" s="34"/>
      <c r="Y79" s="34"/>
      <c r="Z79" s="34"/>
      <c r="AA79" s="34"/>
    </row>
    <row r="80" spans="1:27" ht="15">
      <c r="A80" s="65" t="s">
        <v>219</v>
      </c>
      <c r="B80" s="65" t="s">
        <v>302</v>
      </c>
      <c r="C80" s="66" t="s">
        <v>2751</v>
      </c>
      <c r="D80" s="67">
        <v>3</v>
      </c>
      <c r="E80" s="68"/>
      <c r="F80" s="69">
        <v>50</v>
      </c>
      <c r="G80" s="66"/>
      <c r="H80" s="70"/>
      <c r="I80" s="71"/>
      <c r="J80" s="71"/>
      <c r="K80" s="34" t="s">
        <v>65</v>
      </c>
      <c r="L80" s="78">
        <v>80</v>
      </c>
      <c r="M80" s="78"/>
      <c r="N80" s="73"/>
      <c r="O80" s="89" t="s">
        <v>494</v>
      </c>
      <c r="P80">
        <v>1</v>
      </c>
      <c r="Q80" s="88" t="str">
        <f>REPLACE(INDEX(GroupVertices[Group],MATCH(Edges[[#This Row],[Vertex 1]],GroupVertices[Vertex],0)),1,1,"")</f>
        <v>4</v>
      </c>
      <c r="R80" s="88" t="str">
        <f>REPLACE(INDEX(GroupVertices[Group],MATCH(Edges[[#This Row],[Vertex 2]],GroupVertices[Vertex],0)),1,1,"")</f>
        <v>4</v>
      </c>
      <c r="S80" s="34"/>
      <c r="T80" s="34"/>
      <c r="U80" s="34"/>
      <c r="V80" s="34"/>
      <c r="W80" s="34"/>
      <c r="X80" s="34"/>
      <c r="Y80" s="34"/>
      <c r="Z80" s="34"/>
      <c r="AA80" s="34"/>
    </row>
    <row r="81" spans="1:27" ht="15">
      <c r="A81" s="65" t="s">
        <v>219</v>
      </c>
      <c r="B81" s="65" t="s">
        <v>303</v>
      </c>
      <c r="C81" s="66" t="s">
        <v>2751</v>
      </c>
      <c r="D81" s="67">
        <v>3</v>
      </c>
      <c r="E81" s="68"/>
      <c r="F81" s="69">
        <v>50</v>
      </c>
      <c r="G81" s="66"/>
      <c r="H81" s="70"/>
      <c r="I81" s="71"/>
      <c r="J81" s="71"/>
      <c r="K81" s="34" t="s">
        <v>65</v>
      </c>
      <c r="L81" s="78">
        <v>81</v>
      </c>
      <c r="M81" s="78"/>
      <c r="N81" s="73"/>
      <c r="O81" s="89" t="s">
        <v>494</v>
      </c>
      <c r="P81">
        <v>1</v>
      </c>
      <c r="Q81" s="88" t="str">
        <f>REPLACE(INDEX(GroupVertices[Group],MATCH(Edges[[#This Row],[Vertex 1]],GroupVertices[Vertex],0)),1,1,"")</f>
        <v>4</v>
      </c>
      <c r="R81" s="88" t="str">
        <f>REPLACE(INDEX(GroupVertices[Group],MATCH(Edges[[#This Row],[Vertex 2]],GroupVertices[Vertex],0)),1,1,"")</f>
        <v>4</v>
      </c>
      <c r="S81" s="34"/>
      <c r="T81" s="34"/>
      <c r="U81" s="34"/>
      <c r="V81" s="34"/>
      <c r="W81" s="34"/>
      <c r="X81" s="34"/>
      <c r="Y81" s="34"/>
      <c r="Z81" s="34"/>
      <c r="AA81" s="34"/>
    </row>
    <row r="82" spans="1:27" ht="15">
      <c r="A82" s="65" t="s">
        <v>219</v>
      </c>
      <c r="B82" s="65" t="s">
        <v>304</v>
      </c>
      <c r="C82" s="66" t="s">
        <v>2751</v>
      </c>
      <c r="D82" s="67">
        <v>3</v>
      </c>
      <c r="E82" s="68"/>
      <c r="F82" s="69">
        <v>50</v>
      </c>
      <c r="G82" s="66"/>
      <c r="H82" s="70"/>
      <c r="I82" s="71"/>
      <c r="J82" s="71"/>
      <c r="K82" s="34" t="s">
        <v>65</v>
      </c>
      <c r="L82" s="78">
        <v>82</v>
      </c>
      <c r="M82" s="78"/>
      <c r="N82" s="73"/>
      <c r="O82" s="89" t="s">
        <v>494</v>
      </c>
      <c r="P82">
        <v>1</v>
      </c>
      <c r="Q82" s="88" t="str">
        <f>REPLACE(INDEX(GroupVertices[Group],MATCH(Edges[[#This Row],[Vertex 1]],GroupVertices[Vertex],0)),1,1,"")</f>
        <v>4</v>
      </c>
      <c r="R82" s="88" t="str">
        <f>REPLACE(INDEX(GroupVertices[Group],MATCH(Edges[[#This Row],[Vertex 2]],GroupVertices[Vertex],0)),1,1,"")</f>
        <v>4</v>
      </c>
      <c r="S82" s="34"/>
      <c r="T82" s="34"/>
      <c r="U82" s="34"/>
      <c r="V82" s="34"/>
      <c r="W82" s="34"/>
      <c r="X82" s="34"/>
      <c r="Y82" s="34"/>
      <c r="Z82" s="34"/>
      <c r="AA82" s="34"/>
    </row>
    <row r="83" spans="1:27" ht="15">
      <c r="A83" s="65" t="s">
        <v>219</v>
      </c>
      <c r="B83" s="65" t="s">
        <v>305</v>
      </c>
      <c r="C83" s="66" t="s">
        <v>2751</v>
      </c>
      <c r="D83" s="67">
        <v>3</v>
      </c>
      <c r="E83" s="68"/>
      <c r="F83" s="69">
        <v>50</v>
      </c>
      <c r="G83" s="66"/>
      <c r="H83" s="70"/>
      <c r="I83" s="71"/>
      <c r="J83" s="71"/>
      <c r="K83" s="34" t="s">
        <v>65</v>
      </c>
      <c r="L83" s="78">
        <v>83</v>
      </c>
      <c r="M83" s="78"/>
      <c r="N83" s="73"/>
      <c r="O83" s="89" t="s">
        <v>494</v>
      </c>
      <c r="P83">
        <v>1</v>
      </c>
      <c r="Q83" s="88" t="str">
        <f>REPLACE(INDEX(GroupVertices[Group],MATCH(Edges[[#This Row],[Vertex 1]],GroupVertices[Vertex],0)),1,1,"")</f>
        <v>4</v>
      </c>
      <c r="R83" s="88" t="str">
        <f>REPLACE(INDEX(GroupVertices[Group],MATCH(Edges[[#This Row],[Vertex 2]],GroupVertices[Vertex],0)),1,1,"")</f>
        <v>4</v>
      </c>
      <c r="S83" s="34"/>
      <c r="T83" s="34"/>
      <c r="U83" s="34"/>
      <c r="V83" s="34"/>
      <c r="W83" s="34"/>
      <c r="X83" s="34"/>
      <c r="Y83" s="34"/>
      <c r="Z83" s="34"/>
      <c r="AA83" s="34"/>
    </row>
    <row r="84" spans="1:27" ht="15">
      <c r="A84" s="65" t="s">
        <v>219</v>
      </c>
      <c r="B84" s="65" t="s">
        <v>306</v>
      </c>
      <c r="C84" s="66" t="s">
        <v>2751</v>
      </c>
      <c r="D84" s="67">
        <v>3</v>
      </c>
      <c r="E84" s="68"/>
      <c r="F84" s="69">
        <v>50</v>
      </c>
      <c r="G84" s="66"/>
      <c r="H84" s="70"/>
      <c r="I84" s="71"/>
      <c r="J84" s="71"/>
      <c r="K84" s="34" t="s">
        <v>65</v>
      </c>
      <c r="L84" s="78">
        <v>84</v>
      </c>
      <c r="M84" s="78"/>
      <c r="N84" s="73"/>
      <c r="O84" s="89" t="s">
        <v>494</v>
      </c>
      <c r="P84">
        <v>1</v>
      </c>
      <c r="Q84" s="88" t="str">
        <f>REPLACE(INDEX(GroupVertices[Group],MATCH(Edges[[#This Row],[Vertex 1]],GroupVertices[Vertex],0)),1,1,"")</f>
        <v>4</v>
      </c>
      <c r="R84" s="88" t="str">
        <f>REPLACE(INDEX(GroupVertices[Group],MATCH(Edges[[#This Row],[Vertex 2]],GroupVertices[Vertex],0)),1,1,"")</f>
        <v>4</v>
      </c>
      <c r="S84" s="34"/>
      <c r="T84" s="34"/>
      <c r="U84" s="34"/>
      <c r="V84" s="34"/>
      <c r="W84" s="34"/>
      <c r="X84" s="34"/>
      <c r="Y84" s="34"/>
      <c r="Z84" s="34"/>
      <c r="AA84" s="34"/>
    </row>
    <row r="85" spans="1:27" ht="15">
      <c r="A85" s="65" t="s">
        <v>219</v>
      </c>
      <c r="B85" s="65" t="s">
        <v>307</v>
      </c>
      <c r="C85" s="66" t="s">
        <v>2751</v>
      </c>
      <c r="D85" s="67">
        <v>3</v>
      </c>
      <c r="E85" s="68"/>
      <c r="F85" s="69">
        <v>50</v>
      </c>
      <c r="G85" s="66"/>
      <c r="H85" s="70"/>
      <c r="I85" s="71"/>
      <c r="J85" s="71"/>
      <c r="K85" s="34" t="s">
        <v>65</v>
      </c>
      <c r="L85" s="78">
        <v>85</v>
      </c>
      <c r="M85" s="78"/>
      <c r="N85" s="73"/>
      <c r="O85" s="89" t="s">
        <v>494</v>
      </c>
      <c r="P85">
        <v>1</v>
      </c>
      <c r="Q85" s="88" t="str">
        <f>REPLACE(INDEX(GroupVertices[Group],MATCH(Edges[[#This Row],[Vertex 1]],GroupVertices[Vertex],0)),1,1,"")</f>
        <v>4</v>
      </c>
      <c r="R85" s="88" t="str">
        <f>REPLACE(INDEX(GroupVertices[Group],MATCH(Edges[[#This Row],[Vertex 2]],GroupVertices[Vertex],0)),1,1,"")</f>
        <v>4</v>
      </c>
      <c r="S85" s="34"/>
      <c r="T85" s="34"/>
      <c r="U85" s="34"/>
      <c r="V85" s="34"/>
      <c r="W85" s="34"/>
      <c r="X85" s="34"/>
      <c r="Y85" s="34"/>
      <c r="Z85" s="34"/>
      <c r="AA85" s="34"/>
    </row>
    <row r="86" spans="1:27" ht="15">
      <c r="A86" s="65" t="s">
        <v>217</v>
      </c>
      <c r="B86" s="65" t="s">
        <v>308</v>
      </c>
      <c r="C86" s="66" t="s">
        <v>2751</v>
      </c>
      <c r="D86" s="67">
        <v>3</v>
      </c>
      <c r="E86" s="68"/>
      <c r="F86" s="69">
        <v>50</v>
      </c>
      <c r="G86" s="66"/>
      <c r="H86" s="70"/>
      <c r="I86" s="71"/>
      <c r="J86" s="71"/>
      <c r="K86" s="34" t="s">
        <v>65</v>
      </c>
      <c r="L86" s="78">
        <v>86</v>
      </c>
      <c r="M86" s="78"/>
      <c r="N86" s="73"/>
      <c r="O86" s="89" t="s">
        <v>494</v>
      </c>
      <c r="P86">
        <v>1</v>
      </c>
      <c r="Q86" s="88" t="str">
        <f>REPLACE(INDEX(GroupVertices[Group],MATCH(Edges[[#This Row],[Vertex 1]],GroupVertices[Vertex],0)),1,1,"")</f>
        <v>4</v>
      </c>
      <c r="R86" s="88" t="str">
        <f>REPLACE(INDEX(GroupVertices[Group],MATCH(Edges[[#This Row],[Vertex 2]],GroupVertices[Vertex],0)),1,1,"")</f>
        <v>4</v>
      </c>
      <c r="S86" s="34"/>
      <c r="T86" s="34"/>
      <c r="U86" s="34"/>
      <c r="V86" s="34"/>
      <c r="W86" s="34"/>
      <c r="X86" s="34"/>
      <c r="Y86" s="34"/>
      <c r="Z86" s="34"/>
      <c r="AA86" s="34"/>
    </row>
    <row r="87" spans="1:27" ht="15">
      <c r="A87" s="65" t="s">
        <v>219</v>
      </c>
      <c r="B87" s="65" t="s">
        <v>308</v>
      </c>
      <c r="C87" s="66" t="s">
        <v>2751</v>
      </c>
      <c r="D87" s="67">
        <v>3</v>
      </c>
      <c r="E87" s="68"/>
      <c r="F87" s="69">
        <v>50</v>
      </c>
      <c r="G87" s="66"/>
      <c r="H87" s="70"/>
      <c r="I87" s="71"/>
      <c r="J87" s="71"/>
      <c r="K87" s="34" t="s">
        <v>65</v>
      </c>
      <c r="L87" s="78">
        <v>87</v>
      </c>
      <c r="M87" s="78"/>
      <c r="N87" s="73"/>
      <c r="O87" s="89" t="s">
        <v>494</v>
      </c>
      <c r="P87">
        <v>1</v>
      </c>
      <c r="Q87" s="88" t="str">
        <f>REPLACE(INDEX(GroupVertices[Group],MATCH(Edges[[#This Row],[Vertex 1]],GroupVertices[Vertex],0)),1,1,"")</f>
        <v>4</v>
      </c>
      <c r="R87" s="88" t="str">
        <f>REPLACE(INDEX(GroupVertices[Group],MATCH(Edges[[#This Row],[Vertex 2]],GroupVertices[Vertex],0)),1,1,"")</f>
        <v>4</v>
      </c>
      <c r="S87" s="34"/>
      <c r="T87" s="34"/>
      <c r="U87" s="34"/>
      <c r="V87" s="34"/>
      <c r="W87" s="34"/>
      <c r="X87" s="34"/>
      <c r="Y87" s="34"/>
      <c r="Z87" s="34"/>
      <c r="AA87" s="34"/>
    </row>
    <row r="88" spans="1:27" ht="15">
      <c r="A88" s="65" t="s">
        <v>217</v>
      </c>
      <c r="B88" s="65" t="s">
        <v>309</v>
      </c>
      <c r="C88" s="66" t="s">
        <v>2751</v>
      </c>
      <c r="D88" s="67">
        <v>3</v>
      </c>
      <c r="E88" s="68"/>
      <c r="F88" s="69">
        <v>50</v>
      </c>
      <c r="G88" s="66"/>
      <c r="H88" s="70"/>
      <c r="I88" s="71"/>
      <c r="J88" s="71"/>
      <c r="K88" s="34" t="s">
        <v>65</v>
      </c>
      <c r="L88" s="78">
        <v>88</v>
      </c>
      <c r="M88" s="78"/>
      <c r="N88" s="73"/>
      <c r="O88" s="89" t="s">
        <v>494</v>
      </c>
      <c r="P88">
        <v>1</v>
      </c>
      <c r="Q88" s="88" t="str">
        <f>REPLACE(INDEX(GroupVertices[Group],MATCH(Edges[[#This Row],[Vertex 1]],GroupVertices[Vertex],0)),1,1,"")</f>
        <v>4</v>
      </c>
      <c r="R88" s="88" t="str">
        <f>REPLACE(INDEX(GroupVertices[Group],MATCH(Edges[[#This Row],[Vertex 2]],GroupVertices[Vertex],0)),1,1,"")</f>
        <v>1</v>
      </c>
      <c r="S88" s="34"/>
      <c r="T88" s="34"/>
      <c r="U88" s="34"/>
      <c r="V88" s="34"/>
      <c r="W88" s="34"/>
      <c r="X88" s="34"/>
      <c r="Y88" s="34"/>
      <c r="Z88" s="34"/>
      <c r="AA88" s="34"/>
    </row>
    <row r="89" spans="1:27" ht="15">
      <c r="A89" s="65" t="s">
        <v>217</v>
      </c>
      <c r="B89" s="65" t="s">
        <v>310</v>
      </c>
      <c r="C89" s="66" t="s">
        <v>2751</v>
      </c>
      <c r="D89" s="67">
        <v>3</v>
      </c>
      <c r="E89" s="68"/>
      <c r="F89" s="69">
        <v>50</v>
      </c>
      <c r="G89" s="66"/>
      <c r="H89" s="70"/>
      <c r="I89" s="71"/>
      <c r="J89" s="71"/>
      <c r="K89" s="34" t="s">
        <v>65</v>
      </c>
      <c r="L89" s="78">
        <v>89</v>
      </c>
      <c r="M89" s="78"/>
      <c r="N89" s="73"/>
      <c r="O89" s="89" t="s">
        <v>494</v>
      </c>
      <c r="P89">
        <v>1</v>
      </c>
      <c r="Q89" s="88" t="str">
        <f>REPLACE(INDEX(GroupVertices[Group],MATCH(Edges[[#This Row],[Vertex 1]],GroupVertices[Vertex],0)),1,1,"")</f>
        <v>4</v>
      </c>
      <c r="R89" s="88" t="str">
        <f>REPLACE(INDEX(GroupVertices[Group],MATCH(Edges[[#This Row],[Vertex 2]],GroupVertices[Vertex],0)),1,1,"")</f>
        <v>2</v>
      </c>
      <c r="S89" s="34"/>
      <c r="T89" s="34"/>
      <c r="U89" s="34"/>
      <c r="V89" s="34"/>
      <c r="W89" s="34"/>
      <c r="X89" s="34"/>
      <c r="Y89" s="34"/>
      <c r="Z89" s="34"/>
      <c r="AA89" s="34"/>
    </row>
    <row r="90" spans="1:27" ht="15">
      <c r="A90" s="65" t="s">
        <v>217</v>
      </c>
      <c r="B90" s="65" t="s">
        <v>247</v>
      </c>
      <c r="C90" s="66" t="s">
        <v>2751</v>
      </c>
      <c r="D90" s="67">
        <v>3</v>
      </c>
      <c r="E90" s="68"/>
      <c r="F90" s="69">
        <v>50</v>
      </c>
      <c r="G90" s="66"/>
      <c r="H90" s="70"/>
      <c r="I90" s="71"/>
      <c r="J90" s="71"/>
      <c r="K90" s="34" t="s">
        <v>65</v>
      </c>
      <c r="L90" s="78">
        <v>90</v>
      </c>
      <c r="M90" s="78"/>
      <c r="N90" s="73"/>
      <c r="O90" s="89" t="s">
        <v>494</v>
      </c>
      <c r="P90">
        <v>1</v>
      </c>
      <c r="Q90" s="88" t="str">
        <f>REPLACE(INDEX(GroupVertices[Group],MATCH(Edges[[#This Row],[Vertex 1]],GroupVertices[Vertex],0)),1,1,"")</f>
        <v>4</v>
      </c>
      <c r="R90" s="88" t="str">
        <f>REPLACE(INDEX(GroupVertices[Group],MATCH(Edges[[#This Row],[Vertex 2]],GroupVertices[Vertex],0)),1,1,"")</f>
        <v>3</v>
      </c>
      <c r="S90" s="34"/>
      <c r="T90" s="34"/>
      <c r="U90" s="34"/>
      <c r="V90" s="34"/>
      <c r="W90" s="34"/>
      <c r="X90" s="34"/>
      <c r="Y90" s="34"/>
      <c r="Z90" s="34"/>
      <c r="AA90" s="34"/>
    </row>
    <row r="91" spans="1:27" ht="15">
      <c r="A91" s="65" t="s">
        <v>217</v>
      </c>
      <c r="B91" s="65" t="s">
        <v>265</v>
      </c>
      <c r="C91" s="66" t="s">
        <v>2751</v>
      </c>
      <c r="D91" s="67">
        <v>3</v>
      </c>
      <c r="E91" s="68"/>
      <c r="F91" s="69">
        <v>50</v>
      </c>
      <c r="G91" s="66"/>
      <c r="H91" s="70"/>
      <c r="I91" s="71"/>
      <c r="J91" s="71"/>
      <c r="K91" s="34" t="s">
        <v>65</v>
      </c>
      <c r="L91" s="78">
        <v>91</v>
      </c>
      <c r="M91" s="78"/>
      <c r="N91" s="73"/>
      <c r="O91" s="89" t="s">
        <v>494</v>
      </c>
      <c r="P91">
        <v>1</v>
      </c>
      <c r="Q91" s="88" t="str">
        <f>REPLACE(INDEX(GroupVertices[Group],MATCH(Edges[[#This Row],[Vertex 1]],GroupVertices[Vertex],0)),1,1,"")</f>
        <v>4</v>
      </c>
      <c r="R91" s="88" t="str">
        <f>REPLACE(INDEX(GroupVertices[Group],MATCH(Edges[[#This Row],[Vertex 2]],GroupVertices[Vertex],0)),1,1,"")</f>
        <v>5</v>
      </c>
      <c r="S91" s="34"/>
      <c r="T91" s="34"/>
      <c r="U91" s="34"/>
      <c r="V91" s="34"/>
      <c r="W91" s="34"/>
      <c r="X91" s="34"/>
      <c r="Y91" s="34"/>
      <c r="Z91" s="34"/>
      <c r="AA91" s="34"/>
    </row>
    <row r="92" spans="1:27" ht="15">
      <c r="A92" s="65" t="s">
        <v>217</v>
      </c>
      <c r="B92" s="65" t="s">
        <v>264</v>
      </c>
      <c r="C92" s="66" t="s">
        <v>2751</v>
      </c>
      <c r="D92" s="67">
        <v>3</v>
      </c>
      <c r="E92" s="68"/>
      <c r="F92" s="69">
        <v>50</v>
      </c>
      <c r="G92" s="66"/>
      <c r="H92" s="70"/>
      <c r="I92" s="71"/>
      <c r="J92" s="71"/>
      <c r="K92" s="34" t="s">
        <v>65</v>
      </c>
      <c r="L92" s="78">
        <v>92</v>
      </c>
      <c r="M92" s="78"/>
      <c r="N92" s="73"/>
      <c r="O92" s="89" t="s">
        <v>494</v>
      </c>
      <c r="P92">
        <v>1</v>
      </c>
      <c r="Q92" s="88" t="str">
        <f>REPLACE(INDEX(GroupVertices[Group],MATCH(Edges[[#This Row],[Vertex 1]],GroupVertices[Vertex],0)),1,1,"")</f>
        <v>4</v>
      </c>
      <c r="R92" s="88" t="str">
        <f>REPLACE(INDEX(GroupVertices[Group],MATCH(Edges[[#This Row],[Vertex 2]],GroupVertices[Vertex],0)),1,1,"")</f>
        <v>5</v>
      </c>
      <c r="S92" s="34"/>
      <c r="T92" s="34"/>
      <c r="U92" s="34"/>
      <c r="V92" s="34"/>
      <c r="W92" s="34"/>
      <c r="X92" s="34"/>
      <c r="Y92" s="34"/>
      <c r="Z92" s="34"/>
      <c r="AA92" s="34"/>
    </row>
    <row r="93" spans="1:27" ht="15">
      <c r="A93" s="65" t="s">
        <v>217</v>
      </c>
      <c r="B93" s="65" t="s">
        <v>266</v>
      </c>
      <c r="C93" s="66" t="s">
        <v>2751</v>
      </c>
      <c r="D93" s="67">
        <v>3</v>
      </c>
      <c r="E93" s="68"/>
      <c r="F93" s="69">
        <v>50</v>
      </c>
      <c r="G93" s="66"/>
      <c r="H93" s="70"/>
      <c r="I93" s="71"/>
      <c r="J93" s="71"/>
      <c r="K93" s="34" t="s">
        <v>65</v>
      </c>
      <c r="L93" s="78">
        <v>93</v>
      </c>
      <c r="M93" s="78"/>
      <c r="N93" s="73"/>
      <c r="O93" s="89" t="s">
        <v>494</v>
      </c>
      <c r="P93">
        <v>1</v>
      </c>
      <c r="Q93" s="88" t="str">
        <f>REPLACE(INDEX(GroupVertices[Group],MATCH(Edges[[#This Row],[Vertex 1]],GroupVertices[Vertex],0)),1,1,"")</f>
        <v>4</v>
      </c>
      <c r="R93" s="88" t="str">
        <f>REPLACE(INDEX(GroupVertices[Group],MATCH(Edges[[#This Row],[Vertex 2]],GroupVertices[Vertex],0)),1,1,"")</f>
        <v>2</v>
      </c>
      <c r="S93" s="34"/>
      <c r="T93" s="34"/>
      <c r="U93" s="34"/>
      <c r="V93" s="34"/>
      <c r="W93" s="34"/>
      <c r="X93" s="34"/>
      <c r="Y93" s="34"/>
      <c r="Z93" s="34"/>
      <c r="AA93" s="34"/>
    </row>
    <row r="94" spans="1:27" ht="15">
      <c r="A94" s="65" t="s">
        <v>217</v>
      </c>
      <c r="B94" s="65" t="s">
        <v>262</v>
      </c>
      <c r="C94" s="66" t="s">
        <v>2751</v>
      </c>
      <c r="D94" s="67">
        <v>3</v>
      </c>
      <c r="E94" s="68"/>
      <c r="F94" s="69">
        <v>50</v>
      </c>
      <c r="G94" s="66"/>
      <c r="H94" s="70"/>
      <c r="I94" s="71"/>
      <c r="J94" s="71"/>
      <c r="K94" s="34" t="s">
        <v>65</v>
      </c>
      <c r="L94" s="78">
        <v>94</v>
      </c>
      <c r="M94" s="78"/>
      <c r="N94" s="73"/>
      <c r="O94" s="89" t="s">
        <v>494</v>
      </c>
      <c r="P94">
        <v>1</v>
      </c>
      <c r="Q94" s="88" t="str">
        <f>REPLACE(INDEX(GroupVertices[Group],MATCH(Edges[[#This Row],[Vertex 1]],GroupVertices[Vertex],0)),1,1,"")</f>
        <v>4</v>
      </c>
      <c r="R94" s="88" t="str">
        <f>REPLACE(INDEX(GroupVertices[Group],MATCH(Edges[[#This Row],[Vertex 2]],GroupVertices[Vertex],0)),1,1,"")</f>
        <v>2</v>
      </c>
      <c r="S94" s="34"/>
      <c r="T94" s="34"/>
      <c r="U94" s="34"/>
      <c r="V94" s="34"/>
      <c r="W94" s="34"/>
      <c r="X94" s="34"/>
      <c r="Y94" s="34"/>
      <c r="Z94" s="34"/>
      <c r="AA94" s="34"/>
    </row>
    <row r="95" spans="1:27" ht="15">
      <c r="A95" s="65" t="s">
        <v>217</v>
      </c>
      <c r="B95" s="65" t="s">
        <v>267</v>
      </c>
      <c r="C95" s="66" t="s">
        <v>2751</v>
      </c>
      <c r="D95" s="67">
        <v>3</v>
      </c>
      <c r="E95" s="68"/>
      <c r="F95" s="69">
        <v>50</v>
      </c>
      <c r="G95" s="66"/>
      <c r="H95" s="70"/>
      <c r="I95" s="71"/>
      <c r="J95" s="71"/>
      <c r="K95" s="34" t="s">
        <v>65</v>
      </c>
      <c r="L95" s="78">
        <v>95</v>
      </c>
      <c r="M95" s="78"/>
      <c r="N95" s="73"/>
      <c r="O95" s="89" t="s">
        <v>494</v>
      </c>
      <c r="P95">
        <v>1</v>
      </c>
      <c r="Q95" s="88" t="str">
        <f>REPLACE(INDEX(GroupVertices[Group],MATCH(Edges[[#This Row],[Vertex 1]],GroupVertices[Vertex],0)),1,1,"")</f>
        <v>4</v>
      </c>
      <c r="R95" s="88" t="str">
        <f>REPLACE(INDEX(GroupVertices[Group],MATCH(Edges[[#This Row],[Vertex 2]],GroupVertices[Vertex],0)),1,1,"")</f>
        <v>4</v>
      </c>
      <c r="S95" s="34"/>
      <c r="T95" s="34"/>
      <c r="U95" s="34"/>
      <c r="V95" s="34"/>
      <c r="W95" s="34"/>
      <c r="X95" s="34"/>
      <c r="Y95" s="34"/>
      <c r="Z95" s="34"/>
      <c r="AA95" s="34"/>
    </row>
    <row r="96" spans="1:27" ht="15">
      <c r="A96" s="65" t="s">
        <v>217</v>
      </c>
      <c r="B96" s="65" t="s">
        <v>311</v>
      </c>
      <c r="C96" s="66" t="s">
        <v>2751</v>
      </c>
      <c r="D96" s="67">
        <v>3</v>
      </c>
      <c r="E96" s="68"/>
      <c r="F96" s="69">
        <v>50</v>
      </c>
      <c r="G96" s="66"/>
      <c r="H96" s="70"/>
      <c r="I96" s="71"/>
      <c r="J96" s="71"/>
      <c r="K96" s="34" t="s">
        <v>65</v>
      </c>
      <c r="L96" s="78">
        <v>96</v>
      </c>
      <c r="M96" s="78"/>
      <c r="N96" s="73"/>
      <c r="O96" s="89" t="s">
        <v>494</v>
      </c>
      <c r="P96">
        <v>1</v>
      </c>
      <c r="Q96" s="88" t="str">
        <f>REPLACE(INDEX(GroupVertices[Group],MATCH(Edges[[#This Row],[Vertex 1]],GroupVertices[Vertex],0)),1,1,"")</f>
        <v>4</v>
      </c>
      <c r="R96" s="88" t="str">
        <f>REPLACE(INDEX(GroupVertices[Group],MATCH(Edges[[#This Row],[Vertex 2]],GroupVertices[Vertex],0)),1,1,"")</f>
        <v>2</v>
      </c>
      <c r="S96" s="34"/>
      <c r="T96" s="34"/>
      <c r="U96" s="34"/>
      <c r="V96" s="34"/>
      <c r="W96" s="34"/>
      <c r="X96" s="34"/>
      <c r="Y96" s="34"/>
      <c r="Z96" s="34"/>
      <c r="AA96" s="34"/>
    </row>
    <row r="97" spans="1:27" ht="15">
      <c r="A97" s="65" t="s">
        <v>218</v>
      </c>
      <c r="B97" s="65" t="s">
        <v>217</v>
      </c>
      <c r="C97" s="66" t="s">
        <v>2751</v>
      </c>
      <c r="D97" s="67">
        <v>3</v>
      </c>
      <c r="E97" s="68"/>
      <c r="F97" s="69">
        <v>50</v>
      </c>
      <c r="G97" s="66"/>
      <c r="H97" s="70"/>
      <c r="I97" s="71"/>
      <c r="J97" s="71"/>
      <c r="K97" s="34" t="s">
        <v>65</v>
      </c>
      <c r="L97" s="78">
        <v>97</v>
      </c>
      <c r="M97" s="78"/>
      <c r="N97" s="73"/>
      <c r="O97" s="89" t="s">
        <v>494</v>
      </c>
      <c r="P97">
        <v>1</v>
      </c>
      <c r="Q97" s="88" t="str">
        <f>REPLACE(INDEX(GroupVertices[Group],MATCH(Edges[[#This Row],[Vertex 1]],GroupVertices[Vertex],0)),1,1,"")</f>
        <v>2</v>
      </c>
      <c r="R97" s="88" t="str">
        <f>REPLACE(INDEX(GroupVertices[Group],MATCH(Edges[[#This Row],[Vertex 2]],GroupVertices[Vertex],0)),1,1,"")</f>
        <v>4</v>
      </c>
      <c r="S97" s="34"/>
      <c r="T97" s="34"/>
      <c r="U97" s="34"/>
      <c r="V97" s="34"/>
      <c r="W97" s="34"/>
      <c r="X97" s="34"/>
      <c r="Y97" s="34"/>
      <c r="Z97" s="34"/>
      <c r="AA97" s="34"/>
    </row>
    <row r="98" spans="1:27" ht="15">
      <c r="A98" s="65" t="s">
        <v>219</v>
      </c>
      <c r="B98" s="65" t="s">
        <v>217</v>
      </c>
      <c r="C98" s="66" t="s">
        <v>2751</v>
      </c>
      <c r="D98" s="67">
        <v>3</v>
      </c>
      <c r="E98" s="68"/>
      <c r="F98" s="69">
        <v>50</v>
      </c>
      <c r="G98" s="66"/>
      <c r="H98" s="70"/>
      <c r="I98" s="71"/>
      <c r="J98" s="71"/>
      <c r="K98" s="34" t="s">
        <v>65</v>
      </c>
      <c r="L98" s="78">
        <v>98</v>
      </c>
      <c r="M98" s="78"/>
      <c r="N98" s="73"/>
      <c r="O98" s="89" t="s">
        <v>494</v>
      </c>
      <c r="P98">
        <v>1</v>
      </c>
      <c r="Q98" s="88" t="str">
        <f>REPLACE(INDEX(GroupVertices[Group],MATCH(Edges[[#This Row],[Vertex 1]],GroupVertices[Vertex],0)),1,1,"")</f>
        <v>4</v>
      </c>
      <c r="R98" s="88" t="str">
        <f>REPLACE(INDEX(GroupVertices[Group],MATCH(Edges[[#This Row],[Vertex 2]],GroupVertices[Vertex],0)),1,1,"")</f>
        <v>4</v>
      </c>
      <c r="S98" s="34"/>
      <c r="T98" s="34"/>
      <c r="U98" s="34"/>
      <c r="V98" s="34"/>
      <c r="W98" s="34"/>
      <c r="X98" s="34"/>
      <c r="Y98" s="34"/>
      <c r="Z98" s="34"/>
      <c r="AA98" s="34"/>
    </row>
    <row r="99" spans="1:27" ht="15">
      <c r="A99" s="65" t="s">
        <v>219</v>
      </c>
      <c r="B99" s="65" t="s">
        <v>312</v>
      </c>
      <c r="C99" s="66" t="s">
        <v>2751</v>
      </c>
      <c r="D99" s="67">
        <v>3</v>
      </c>
      <c r="E99" s="68"/>
      <c r="F99" s="69">
        <v>50</v>
      </c>
      <c r="G99" s="66"/>
      <c r="H99" s="70"/>
      <c r="I99" s="71"/>
      <c r="J99" s="71"/>
      <c r="K99" s="34" t="s">
        <v>65</v>
      </c>
      <c r="L99" s="78">
        <v>99</v>
      </c>
      <c r="M99" s="78"/>
      <c r="N99" s="73"/>
      <c r="O99" s="89" t="s">
        <v>494</v>
      </c>
      <c r="P99">
        <v>1</v>
      </c>
      <c r="Q99" s="88" t="str">
        <f>REPLACE(INDEX(GroupVertices[Group],MATCH(Edges[[#This Row],[Vertex 1]],GroupVertices[Vertex],0)),1,1,"")</f>
        <v>4</v>
      </c>
      <c r="R99" s="88" t="str">
        <f>REPLACE(INDEX(GroupVertices[Group],MATCH(Edges[[#This Row],[Vertex 2]],GroupVertices[Vertex],0)),1,1,"")</f>
        <v>4</v>
      </c>
      <c r="S99" s="34"/>
      <c r="T99" s="34"/>
      <c r="U99" s="34"/>
      <c r="V99" s="34"/>
      <c r="W99" s="34"/>
      <c r="X99" s="34"/>
      <c r="Y99" s="34"/>
      <c r="Z99" s="34"/>
      <c r="AA99" s="34"/>
    </row>
    <row r="100" spans="1:27" ht="15">
      <c r="A100" s="65" t="s">
        <v>219</v>
      </c>
      <c r="B100" s="65" t="s">
        <v>313</v>
      </c>
      <c r="C100" s="66" t="s">
        <v>2751</v>
      </c>
      <c r="D100" s="67">
        <v>3</v>
      </c>
      <c r="E100" s="68"/>
      <c r="F100" s="69">
        <v>50</v>
      </c>
      <c r="G100" s="66"/>
      <c r="H100" s="70"/>
      <c r="I100" s="71"/>
      <c r="J100" s="71"/>
      <c r="K100" s="34" t="s">
        <v>65</v>
      </c>
      <c r="L100" s="78">
        <v>100</v>
      </c>
      <c r="M100" s="78"/>
      <c r="N100" s="73"/>
      <c r="O100" s="89" t="s">
        <v>494</v>
      </c>
      <c r="P100">
        <v>1</v>
      </c>
      <c r="Q100" s="88" t="str">
        <f>REPLACE(INDEX(GroupVertices[Group],MATCH(Edges[[#This Row],[Vertex 1]],GroupVertices[Vertex],0)),1,1,"")</f>
        <v>4</v>
      </c>
      <c r="R100" s="88" t="str">
        <f>REPLACE(INDEX(GroupVertices[Group],MATCH(Edges[[#This Row],[Vertex 2]],GroupVertices[Vertex],0)),1,1,"")</f>
        <v>4</v>
      </c>
      <c r="S100" s="34"/>
      <c r="T100" s="34"/>
      <c r="U100" s="34"/>
      <c r="V100" s="34"/>
      <c r="W100" s="34"/>
      <c r="X100" s="34"/>
      <c r="Y100" s="34"/>
      <c r="Z100" s="34"/>
      <c r="AA100" s="34"/>
    </row>
    <row r="101" spans="1:27" ht="15">
      <c r="A101" s="65" t="s">
        <v>218</v>
      </c>
      <c r="B101" s="65" t="s">
        <v>267</v>
      </c>
      <c r="C101" s="66" t="s">
        <v>2751</v>
      </c>
      <c r="D101" s="67">
        <v>3</v>
      </c>
      <c r="E101" s="68"/>
      <c r="F101" s="69">
        <v>50</v>
      </c>
      <c r="G101" s="66"/>
      <c r="H101" s="70"/>
      <c r="I101" s="71"/>
      <c r="J101" s="71"/>
      <c r="K101" s="34" t="s">
        <v>65</v>
      </c>
      <c r="L101" s="78">
        <v>101</v>
      </c>
      <c r="M101" s="78"/>
      <c r="N101" s="73"/>
      <c r="O101" s="89" t="s">
        <v>494</v>
      </c>
      <c r="P101">
        <v>1</v>
      </c>
      <c r="Q101" s="88" t="str">
        <f>REPLACE(INDEX(GroupVertices[Group],MATCH(Edges[[#This Row],[Vertex 1]],GroupVertices[Vertex],0)),1,1,"")</f>
        <v>2</v>
      </c>
      <c r="R101" s="88" t="str">
        <f>REPLACE(INDEX(GroupVertices[Group],MATCH(Edges[[#This Row],[Vertex 2]],GroupVertices[Vertex],0)),1,1,"")</f>
        <v>4</v>
      </c>
      <c r="S101" s="34"/>
      <c r="T101" s="34"/>
      <c r="U101" s="34"/>
      <c r="V101" s="34"/>
      <c r="W101" s="34"/>
      <c r="X101" s="34"/>
      <c r="Y101" s="34"/>
      <c r="Z101" s="34"/>
      <c r="AA101" s="34"/>
    </row>
    <row r="102" spans="1:27" ht="15">
      <c r="A102" s="65" t="s">
        <v>219</v>
      </c>
      <c r="B102" s="65" t="s">
        <v>267</v>
      </c>
      <c r="C102" s="66" t="s">
        <v>2751</v>
      </c>
      <c r="D102" s="67">
        <v>3</v>
      </c>
      <c r="E102" s="68"/>
      <c r="F102" s="69">
        <v>50</v>
      </c>
      <c r="G102" s="66"/>
      <c r="H102" s="70"/>
      <c r="I102" s="71"/>
      <c r="J102" s="71"/>
      <c r="K102" s="34" t="s">
        <v>65</v>
      </c>
      <c r="L102" s="78">
        <v>102</v>
      </c>
      <c r="M102" s="78"/>
      <c r="N102" s="73"/>
      <c r="O102" s="89" t="s">
        <v>494</v>
      </c>
      <c r="P102">
        <v>1</v>
      </c>
      <c r="Q102" s="88" t="str">
        <f>REPLACE(INDEX(GroupVertices[Group],MATCH(Edges[[#This Row],[Vertex 1]],GroupVertices[Vertex],0)),1,1,"")</f>
        <v>4</v>
      </c>
      <c r="R102" s="88" t="str">
        <f>REPLACE(INDEX(GroupVertices[Group],MATCH(Edges[[#This Row],[Vertex 2]],GroupVertices[Vertex],0)),1,1,"")</f>
        <v>4</v>
      </c>
      <c r="S102" s="34"/>
      <c r="T102" s="34"/>
      <c r="U102" s="34"/>
      <c r="V102" s="34"/>
      <c r="W102" s="34"/>
      <c r="X102" s="34"/>
      <c r="Y102" s="34"/>
      <c r="Z102" s="34"/>
      <c r="AA102" s="34"/>
    </row>
    <row r="103" spans="1:27" ht="15">
      <c r="A103" s="65" t="s">
        <v>219</v>
      </c>
      <c r="B103" s="65" t="s">
        <v>266</v>
      </c>
      <c r="C103" s="66" t="s">
        <v>2751</v>
      </c>
      <c r="D103" s="67">
        <v>3</v>
      </c>
      <c r="E103" s="68"/>
      <c r="F103" s="69">
        <v>50</v>
      </c>
      <c r="G103" s="66"/>
      <c r="H103" s="70"/>
      <c r="I103" s="71"/>
      <c r="J103" s="71"/>
      <c r="K103" s="34" t="s">
        <v>65</v>
      </c>
      <c r="L103" s="78">
        <v>103</v>
      </c>
      <c r="M103" s="78"/>
      <c r="N103" s="73"/>
      <c r="O103" s="89" t="s">
        <v>494</v>
      </c>
      <c r="P103">
        <v>1</v>
      </c>
      <c r="Q103" s="88" t="str">
        <f>REPLACE(INDEX(GroupVertices[Group],MATCH(Edges[[#This Row],[Vertex 1]],GroupVertices[Vertex],0)),1,1,"")</f>
        <v>4</v>
      </c>
      <c r="R103" s="88" t="str">
        <f>REPLACE(INDEX(GroupVertices[Group],MATCH(Edges[[#This Row],[Vertex 2]],GroupVertices[Vertex],0)),1,1,"")</f>
        <v>2</v>
      </c>
      <c r="S103" s="34"/>
      <c r="T103" s="34"/>
      <c r="U103" s="34"/>
      <c r="V103" s="34"/>
      <c r="W103" s="34"/>
      <c r="X103" s="34"/>
      <c r="Y103" s="34"/>
      <c r="Z103" s="34"/>
      <c r="AA103" s="34"/>
    </row>
    <row r="104" spans="1:27" ht="15">
      <c r="A104" s="65" t="s">
        <v>219</v>
      </c>
      <c r="B104" s="65" t="s">
        <v>262</v>
      </c>
      <c r="C104" s="66" t="s">
        <v>2751</v>
      </c>
      <c r="D104" s="67">
        <v>3</v>
      </c>
      <c r="E104" s="68"/>
      <c r="F104" s="69">
        <v>50</v>
      </c>
      <c r="G104" s="66"/>
      <c r="H104" s="70"/>
      <c r="I104" s="71"/>
      <c r="J104" s="71"/>
      <c r="K104" s="34" t="s">
        <v>65</v>
      </c>
      <c r="L104" s="78">
        <v>104</v>
      </c>
      <c r="M104" s="78"/>
      <c r="N104" s="73"/>
      <c r="O104" s="89" t="s">
        <v>494</v>
      </c>
      <c r="P104">
        <v>1</v>
      </c>
      <c r="Q104" s="88" t="str">
        <f>REPLACE(INDEX(GroupVertices[Group],MATCH(Edges[[#This Row],[Vertex 1]],GroupVertices[Vertex],0)),1,1,"")</f>
        <v>4</v>
      </c>
      <c r="R104" s="88" t="str">
        <f>REPLACE(INDEX(GroupVertices[Group],MATCH(Edges[[#This Row],[Vertex 2]],GroupVertices[Vertex],0)),1,1,"")</f>
        <v>2</v>
      </c>
      <c r="S104" s="34"/>
      <c r="T104" s="34"/>
      <c r="U104" s="34"/>
      <c r="V104" s="34"/>
      <c r="W104" s="34"/>
      <c r="X104" s="34"/>
      <c r="Y104" s="34"/>
      <c r="Z104" s="34"/>
      <c r="AA104" s="34"/>
    </row>
    <row r="105" spans="1:27" ht="15">
      <c r="A105" s="65" t="s">
        <v>219</v>
      </c>
      <c r="B105" s="65" t="s">
        <v>259</v>
      </c>
      <c r="C105" s="66" t="s">
        <v>2751</v>
      </c>
      <c r="D105" s="67">
        <v>3</v>
      </c>
      <c r="E105" s="68"/>
      <c r="F105" s="69">
        <v>50</v>
      </c>
      <c r="G105" s="66"/>
      <c r="H105" s="70"/>
      <c r="I105" s="71"/>
      <c r="J105" s="71"/>
      <c r="K105" s="34" t="s">
        <v>65</v>
      </c>
      <c r="L105" s="78">
        <v>105</v>
      </c>
      <c r="M105" s="78"/>
      <c r="N105" s="73"/>
      <c r="O105" s="89" t="s">
        <v>494</v>
      </c>
      <c r="P105">
        <v>1</v>
      </c>
      <c r="Q105" s="88" t="str">
        <f>REPLACE(INDEX(GroupVertices[Group],MATCH(Edges[[#This Row],[Vertex 1]],GroupVertices[Vertex],0)),1,1,"")</f>
        <v>4</v>
      </c>
      <c r="R105" s="88" t="str">
        <f>REPLACE(INDEX(GroupVertices[Group],MATCH(Edges[[#This Row],[Vertex 2]],GroupVertices[Vertex],0)),1,1,"")</f>
        <v>2</v>
      </c>
      <c r="S105" s="34"/>
      <c r="T105" s="34"/>
      <c r="U105" s="34"/>
      <c r="V105" s="34"/>
      <c r="W105" s="34"/>
      <c r="X105" s="34"/>
      <c r="Y105" s="34"/>
      <c r="Z105" s="34"/>
      <c r="AA105" s="34"/>
    </row>
    <row r="106" spans="1:27" ht="15">
      <c r="A106" s="65" t="s">
        <v>219</v>
      </c>
      <c r="B106" s="65" t="s">
        <v>314</v>
      </c>
      <c r="C106" s="66" t="s">
        <v>2751</v>
      </c>
      <c r="D106" s="67">
        <v>3</v>
      </c>
      <c r="E106" s="68"/>
      <c r="F106" s="69">
        <v>50</v>
      </c>
      <c r="G106" s="66"/>
      <c r="H106" s="70"/>
      <c r="I106" s="71"/>
      <c r="J106" s="71"/>
      <c r="K106" s="34" t="s">
        <v>65</v>
      </c>
      <c r="L106" s="78">
        <v>106</v>
      </c>
      <c r="M106" s="78"/>
      <c r="N106" s="73"/>
      <c r="O106" s="89" t="s">
        <v>494</v>
      </c>
      <c r="P106">
        <v>1</v>
      </c>
      <c r="Q106" s="88" t="str">
        <f>REPLACE(INDEX(GroupVertices[Group],MATCH(Edges[[#This Row],[Vertex 1]],GroupVertices[Vertex],0)),1,1,"")</f>
        <v>4</v>
      </c>
      <c r="R106" s="88" t="str">
        <f>REPLACE(INDEX(GroupVertices[Group],MATCH(Edges[[#This Row],[Vertex 2]],GroupVertices[Vertex],0)),1,1,"")</f>
        <v>4</v>
      </c>
      <c r="S106" s="34"/>
      <c r="T106" s="34"/>
      <c r="U106" s="34"/>
      <c r="V106" s="34"/>
      <c r="W106" s="34"/>
      <c r="X106" s="34"/>
      <c r="Y106" s="34"/>
      <c r="Z106" s="34"/>
      <c r="AA106" s="34"/>
    </row>
    <row r="107" spans="1:27" ht="15">
      <c r="A107" s="65" t="s">
        <v>219</v>
      </c>
      <c r="B107" s="65" t="s">
        <v>315</v>
      </c>
      <c r="C107" s="66" t="s">
        <v>2751</v>
      </c>
      <c r="D107" s="67">
        <v>3</v>
      </c>
      <c r="E107" s="68"/>
      <c r="F107" s="69">
        <v>50</v>
      </c>
      <c r="G107" s="66"/>
      <c r="H107" s="70"/>
      <c r="I107" s="71"/>
      <c r="J107" s="71"/>
      <c r="K107" s="34" t="s">
        <v>65</v>
      </c>
      <c r="L107" s="78">
        <v>107</v>
      </c>
      <c r="M107" s="78"/>
      <c r="N107" s="73"/>
      <c r="O107" s="89" t="s">
        <v>494</v>
      </c>
      <c r="P107">
        <v>1</v>
      </c>
      <c r="Q107" s="88" t="str">
        <f>REPLACE(INDEX(GroupVertices[Group],MATCH(Edges[[#This Row],[Vertex 1]],GroupVertices[Vertex],0)),1,1,"")</f>
        <v>4</v>
      </c>
      <c r="R107" s="88" t="str">
        <f>REPLACE(INDEX(GroupVertices[Group],MATCH(Edges[[#This Row],[Vertex 2]],GroupVertices[Vertex],0)),1,1,"")</f>
        <v>2</v>
      </c>
      <c r="S107" s="34"/>
      <c r="T107" s="34"/>
      <c r="U107" s="34"/>
      <c r="V107" s="34"/>
      <c r="W107" s="34"/>
      <c r="X107" s="34"/>
      <c r="Y107" s="34"/>
      <c r="Z107" s="34"/>
      <c r="AA107" s="34"/>
    </row>
    <row r="108" spans="1:27" ht="15">
      <c r="A108" s="65" t="s">
        <v>220</v>
      </c>
      <c r="B108" s="65" t="s">
        <v>316</v>
      </c>
      <c r="C108" s="66" t="s">
        <v>2751</v>
      </c>
      <c r="D108" s="67">
        <v>3</v>
      </c>
      <c r="E108" s="68"/>
      <c r="F108" s="69">
        <v>50</v>
      </c>
      <c r="G108" s="66"/>
      <c r="H108" s="70"/>
      <c r="I108" s="71"/>
      <c r="J108" s="71"/>
      <c r="K108" s="34" t="s">
        <v>65</v>
      </c>
      <c r="L108" s="78">
        <v>108</v>
      </c>
      <c r="M108" s="78"/>
      <c r="N108" s="73"/>
      <c r="O108" s="89" t="s">
        <v>494</v>
      </c>
      <c r="P108">
        <v>1</v>
      </c>
      <c r="Q108" s="88" t="str">
        <f>REPLACE(INDEX(GroupVertices[Group],MATCH(Edges[[#This Row],[Vertex 1]],GroupVertices[Vertex],0)),1,1,"")</f>
        <v>5</v>
      </c>
      <c r="R108" s="88" t="str">
        <f>REPLACE(INDEX(GroupVertices[Group],MATCH(Edges[[#This Row],[Vertex 2]],GroupVertices[Vertex],0)),1,1,"")</f>
        <v>5</v>
      </c>
      <c r="S108" s="34"/>
      <c r="T108" s="34"/>
      <c r="U108" s="34"/>
      <c r="V108" s="34"/>
      <c r="W108" s="34"/>
      <c r="X108" s="34"/>
      <c r="Y108" s="34"/>
      <c r="Z108" s="34"/>
      <c r="AA108" s="34"/>
    </row>
    <row r="109" spans="1:27" ht="15">
      <c r="A109" s="65" t="s">
        <v>220</v>
      </c>
      <c r="B109" s="65" t="s">
        <v>317</v>
      </c>
      <c r="C109" s="66" t="s">
        <v>2751</v>
      </c>
      <c r="D109" s="67">
        <v>3</v>
      </c>
      <c r="E109" s="68"/>
      <c r="F109" s="69">
        <v>50</v>
      </c>
      <c r="G109" s="66"/>
      <c r="H109" s="70"/>
      <c r="I109" s="71"/>
      <c r="J109" s="71"/>
      <c r="K109" s="34" t="s">
        <v>65</v>
      </c>
      <c r="L109" s="78">
        <v>109</v>
      </c>
      <c r="M109" s="78"/>
      <c r="N109" s="73"/>
      <c r="O109" s="89" t="s">
        <v>494</v>
      </c>
      <c r="P109">
        <v>1</v>
      </c>
      <c r="Q109" s="88" t="str">
        <f>REPLACE(INDEX(GroupVertices[Group],MATCH(Edges[[#This Row],[Vertex 1]],GroupVertices[Vertex],0)),1,1,"")</f>
        <v>5</v>
      </c>
      <c r="R109" s="88" t="str">
        <f>REPLACE(INDEX(GroupVertices[Group],MATCH(Edges[[#This Row],[Vertex 2]],GroupVertices[Vertex],0)),1,1,"")</f>
        <v>5</v>
      </c>
      <c r="S109" s="34"/>
      <c r="T109" s="34"/>
      <c r="U109" s="34"/>
      <c r="V109" s="34"/>
      <c r="W109" s="34"/>
      <c r="X109" s="34"/>
      <c r="Y109" s="34"/>
      <c r="Z109" s="34"/>
      <c r="AA109" s="34"/>
    </row>
    <row r="110" spans="1:27" ht="15">
      <c r="A110" s="65" t="s">
        <v>220</v>
      </c>
      <c r="B110" s="65" t="s">
        <v>318</v>
      </c>
      <c r="C110" s="66" t="s">
        <v>2751</v>
      </c>
      <c r="D110" s="67">
        <v>3</v>
      </c>
      <c r="E110" s="68"/>
      <c r="F110" s="69">
        <v>50</v>
      </c>
      <c r="G110" s="66"/>
      <c r="H110" s="70"/>
      <c r="I110" s="71"/>
      <c r="J110" s="71"/>
      <c r="K110" s="34" t="s">
        <v>65</v>
      </c>
      <c r="L110" s="78">
        <v>110</v>
      </c>
      <c r="M110" s="78"/>
      <c r="N110" s="73"/>
      <c r="O110" s="89" t="s">
        <v>494</v>
      </c>
      <c r="P110">
        <v>1</v>
      </c>
      <c r="Q110" s="88" t="str">
        <f>REPLACE(INDEX(GroupVertices[Group],MATCH(Edges[[#This Row],[Vertex 1]],GroupVertices[Vertex],0)),1,1,"")</f>
        <v>5</v>
      </c>
      <c r="R110" s="88" t="str">
        <f>REPLACE(INDEX(GroupVertices[Group],MATCH(Edges[[#This Row],[Vertex 2]],GroupVertices[Vertex],0)),1,1,"")</f>
        <v>5</v>
      </c>
      <c r="S110" s="34"/>
      <c r="T110" s="34"/>
      <c r="U110" s="34"/>
      <c r="V110" s="34"/>
      <c r="W110" s="34"/>
      <c r="X110" s="34"/>
      <c r="Y110" s="34"/>
      <c r="Z110" s="34"/>
      <c r="AA110" s="34"/>
    </row>
    <row r="111" spans="1:27" ht="15">
      <c r="A111" s="65" t="s">
        <v>218</v>
      </c>
      <c r="B111" s="65" t="s">
        <v>262</v>
      </c>
      <c r="C111" s="66" t="s">
        <v>2751</v>
      </c>
      <c r="D111" s="67">
        <v>3</v>
      </c>
      <c r="E111" s="68"/>
      <c r="F111" s="69">
        <v>50</v>
      </c>
      <c r="G111" s="66"/>
      <c r="H111" s="70"/>
      <c r="I111" s="71"/>
      <c r="J111" s="71"/>
      <c r="K111" s="34" t="s">
        <v>65</v>
      </c>
      <c r="L111" s="78">
        <v>111</v>
      </c>
      <c r="M111" s="78"/>
      <c r="N111" s="73"/>
      <c r="O111" s="89" t="s">
        <v>494</v>
      </c>
      <c r="P111">
        <v>1</v>
      </c>
      <c r="Q111" s="88" t="str">
        <f>REPLACE(INDEX(GroupVertices[Group],MATCH(Edges[[#This Row],[Vertex 1]],GroupVertices[Vertex],0)),1,1,"")</f>
        <v>2</v>
      </c>
      <c r="R111" s="88" t="str">
        <f>REPLACE(INDEX(GroupVertices[Group],MATCH(Edges[[#This Row],[Vertex 2]],GroupVertices[Vertex],0)),1,1,"")</f>
        <v>2</v>
      </c>
      <c r="S111" s="34"/>
      <c r="T111" s="34"/>
      <c r="U111" s="34"/>
      <c r="V111" s="34"/>
      <c r="W111" s="34"/>
      <c r="X111" s="34"/>
      <c r="Y111" s="34"/>
      <c r="Z111" s="34"/>
      <c r="AA111" s="34"/>
    </row>
    <row r="112" spans="1:27" ht="15">
      <c r="A112" s="65" t="s">
        <v>218</v>
      </c>
      <c r="B112" s="65" t="s">
        <v>224</v>
      </c>
      <c r="C112" s="66" t="s">
        <v>2751</v>
      </c>
      <c r="D112" s="67">
        <v>3</v>
      </c>
      <c r="E112" s="68"/>
      <c r="F112" s="69">
        <v>50</v>
      </c>
      <c r="G112" s="66"/>
      <c r="H112" s="70"/>
      <c r="I112" s="71"/>
      <c r="J112" s="71"/>
      <c r="K112" s="34" t="s">
        <v>65</v>
      </c>
      <c r="L112" s="78">
        <v>112</v>
      </c>
      <c r="M112" s="78"/>
      <c r="N112" s="73"/>
      <c r="O112" s="89" t="s">
        <v>494</v>
      </c>
      <c r="P112">
        <v>1</v>
      </c>
      <c r="Q112" s="88" t="str">
        <f>REPLACE(INDEX(GroupVertices[Group],MATCH(Edges[[#This Row],[Vertex 1]],GroupVertices[Vertex],0)),1,1,"")</f>
        <v>2</v>
      </c>
      <c r="R112" s="88" t="str">
        <f>REPLACE(INDEX(GroupVertices[Group],MATCH(Edges[[#This Row],[Vertex 2]],GroupVertices[Vertex],0)),1,1,"")</f>
        <v>2</v>
      </c>
      <c r="S112" s="34"/>
      <c r="T112" s="34"/>
      <c r="U112" s="34"/>
      <c r="V112" s="34"/>
      <c r="W112" s="34"/>
      <c r="X112" s="34"/>
      <c r="Y112" s="34"/>
      <c r="Z112" s="34"/>
      <c r="AA112" s="34"/>
    </row>
    <row r="113" spans="1:27" ht="15">
      <c r="A113" s="65" t="s">
        <v>218</v>
      </c>
      <c r="B113" s="65" t="s">
        <v>265</v>
      </c>
      <c r="C113" s="66" t="s">
        <v>2751</v>
      </c>
      <c r="D113" s="67">
        <v>3</v>
      </c>
      <c r="E113" s="68"/>
      <c r="F113" s="69">
        <v>50</v>
      </c>
      <c r="G113" s="66"/>
      <c r="H113" s="70"/>
      <c r="I113" s="71"/>
      <c r="J113" s="71"/>
      <c r="K113" s="34" t="s">
        <v>65</v>
      </c>
      <c r="L113" s="78">
        <v>113</v>
      </c>
      <c r="M113" s="78"/>
      <c r="N113" s="73"/>
      <c r="O113" s="89" t="s">
        <v>494</v>
      </c>
      <c r="P113">
        <v>1</v>
      </c>
      <c r="Q113" s="88" t="str">
        <f>REPLACE(INDEX(GroupVertices[Group],MATCH(Edges[[#This Row],[Vertex 1]],GroupVertices[Vertex],0)),1,1,"")</f>
        <v>2</v>
      </c>
      <c r="R113" s="88" t="str">
        <f>REPLACE(INDEX(GroupVertices[Group],MATCH(Edges[[#This Row],[Vertex 2]],GroupVertices[Vertex],0)),1,1,"")</f>
        <v>5</v>
      </c>
      <c r="S113" s="34"/>
      <c r="T113" s="34"/>
      <c r="U113" s="34"/>
      <c r="V113" s="34"/>
      <c r="W113" s="34"/>
      <c r="X113" s="34"/>
      <c r="Y113" s="34"/>
      <c r="Z113" s="34"/>
      <c r="AA113" s="34"/>
    </row>
    <row r="114" spans="1:27" ht="15">
      <c r="A114" s="65" t="s">
        <v>218</v>
      </c>
      <c r="B114" s="65" t="s">
        <v>257</v>
      </c>
      <c r="C114" s="66" t="s">
        <v>2751</v>
      </c>
      <c r="D114" s="67">
        <v>3</v>
      </c>
      <c r="E114" s="68"/>
      <c r="F114" s="69">
        <v>50</v>
      </c>
      <c r="G114" s="66"/>
      <c r="H114" s="70"/>
      <c r="I114" s="71"/>
      <c r="J114" s="71"/>
      <c r="K114" s="34" t="s">
        <v>65</v>
      </c>
      <c r="L114" s="78">
        <v>114</v>
      </c>
      <c r="M114" s="78"/>
      <c r="N114" s="73"/>
      <c r="O114" s="89" t="s">
        <v>494</v>
      </c>
      <c r="P114">
        <v>1</v>
      </c>
      <c r="Q114" s="88" t="str">
        <f>REPLACE(INDEX(GroupVertices[Group],MATCH(Edges[[#This Row],[Vertex 1]],GroupVertices[Vertex],0)),1,1,"")</f>
        <v>2</v>
      </c>
      <c r="R114" s="88" t="str">
        <f>REPLACE(INDEX(GroupVertices[Group],MATCH(Edges[[#This Row],[Vertex 2]],GroupVertices[Vertex],0)),1,1,"")</f>
        <v>2</v>
      </c>
      <c r="S114" s="34"/>
      <c r="T114" s="34"/>
      <c r="U114" s="34"/>
      <c r="V114" s="34"/>
      <c r="W114" s="34"/>
      <c r="X114" s="34"/>
      <c r="Y114" s="34"/>
      <c r="Z114" s="34"/>
      <c r="AA114" s="34"/>
    </row>
    <row r="115" spans="1:27" ht="15">
      <c r="A115" s="65" t="s">
        <v>218</v>
      </c>
      <c r="B115" s="65" t="s">
        <v>222</v>
      </c>
      <c r="C115" s="66" t="s">
        <v>2751</v>
      </c>
      <c r="D115" s="67">
        <v>3</v>
      </c>
      <c r="E115" s="68"/>
      <c r="F115" s="69">
        <v>50</v>
      </c>
      <c r="G115" s="66"/>
      <c r="H115" s="70"/>
      <c r="I115" s="71"/>
      <c r="J115" s="71"/>
      <c r="K115" s="34" t="s">
        <v>65</v>
      </c>
      <c r="L115" s="78">
        <v>115</v>
      </c>
      <c r="M115" s="78"/>
      <c r="N115" s="73"/>
      <c r="O115" s="89" t="s">
        <v>494</v>
      </c>
      <c r="P115">
        <v>1</v>
      </c>
      <c r="Q115" s="88" t="str">
        <f>REPLACE(INDEX(GroupVertices[Group],MATCH(Edges[[#This Row],[Vertex 1]],GroupVertices[Vertex],0)),1,1,"")</f>
        <v>2</v>
      </c>
      <c r="R115" s="88" t="str">
        <f>REPLACE(INDEX(GroupVertices[Group],MATCH(Edges[[#This Row],[Vertex 2]],GroupVertices[Vertex],0)),1,1,"")</f>
        <v>2</v>
      </c>
      <c r="S115" s="34"/>
      <c r="T115" s="34"/>
      <c r="U115" s="34"/>
      <c r="V115" s="34"/>
      <c r="W115" s="34"/>
      <c r="X115" s="34"/>
      <c r="Y115" s="34"/>
      <c r="Z115" s="34"/>
      <c r="AA115" s="34"/>
    </row>
    <row r="116" spans="1:27" ht="15">
      <c r="A116" s="65" t="s">
        <v>218</v>
      </c>
      <c r="B116" s="65" t="s">
        <v>319</v>
      </c>
      <c r="C116" s="66" t="s">
        <v>2751</v>
      </c>
      <c r="D116" s="67">
        <v>3</v>
      </c>
      <c r="E116" s="68"/>
      <c r="F116" s="69">
        <v>50</v>
      </c>
      <c r="G116" s="66"/>
      <c r="H116" s="70"/>
      <c r="I116" s="71"/>
      <c r="J116" s="71"/>
      <c r="K116" s="34" t="s">
        <v>65</v>
      </c>
      <c r="L116" s="78">
        <v>116</v>
      </c>
      <c r="M116" s="78"/>
      <c r="N116" s="73"/>
      <c r="O116" s="89" t="s">
        <v>494</v>
      </c>
      <c r="P116">
        <v>1</v>
      </c>
      <c r="Q116" s="88" t="str">
        <f>REPLACE(INDEX(GroupVertices[Group],MATCH(Edges[[#This Row],[Vertex 1]],GroupVertices[Vertex],0)),1,1,"")</f>
        <v>2</v>
      </c>
      <c r="R116" s="88" t="str">
        <f>REPLACE(INDEX(GroupVertices[Group],MATCH(Edges[[#This Row],[Vertex 2]],GroupVertices[Vertex],0)),1,1,"")</f>
        <v>2</v>
      </c>
      <c r="S116" s="34"/>
      <c r="T116" s="34"/>
      <c r="U116" s="34"/>
      <c r="V116" s="34"/>
      <c r="W116" s="34"/>
      <c r="X116" s="34"/>
      <c r="Y116" s="34"/>
      <c r="Z116" s="34"/>
      <c r="AA116" s="34"/>
    </row>
    <row r="117" spans="1:27" ht="15">
      <c r="A117" s="65" t="s">
        <v>218</v>
      </c>
      <c r="B117" s="65" t="s">
        <v>266</v>
      </c>
      <c r="C117" s="66" t="s">
        <v>2751</v>
      </c>
      <c r="D117" s="67">
        <v>3</v>
      </c>
      <c r="E117" s="68"/>
      <c r="F117" s="69">
        <v>50</v>
      </c>
      <c r="G117" s="66"/>
      <c r="H117" s="70"/>
      <c r="I117" s="71"/>
      <c r="J117" s="71"/>
      <c r="K117" s="34" t="s">
        <v>65</v>
      </c>
      <c r="L117" s="78">
        <v>117</v>
      </c>
      <c r="M117" s="78"/>
      <c r="N117" s="73"/>
      <c r="O117" s="89" t="s">
        <v>494</v>
      </c>
      <c r="P117">
        <v>1</v>
      </c>
      <c r="Q117" s="88" t="str">
        <f>REPLACE(INDEX(GroupVertices[Group],MATCH(Edges[[#This Row],[Vertex 1]],GroupVertices[Vertex],0)),1,1,"")</f>
        <v>2</v>
      </c>
      <c r="R117" s="88" t="str">
        <f>REPLACE(INDEX(GroupVertices[Group],MATCH(Edges[[#This Row],[Vertex 2]],GroupVertices[Vertex],0)),1,1,"")</f>
        <v>2</v>
      </c>
      <c r="S117" s="34"/>
      <c r="T117" s="34"/>
      <c r="U117" s="34"/>
      <c r="V117" s="34"/>
      <c r="W117" s="34"/>
      <c r="X117" s="34"/>
      <c r="Y117" s="34"/>
      <c r="Z117" s="34"/>
      <c r="AA117" s="34"/>
    </row>
    <row r="118" spans="1:27" ht="15">
      <c r="A118" s="65" t="s">
        <v>218</v>
      </c>
      <c r="B118" s="65" t="s">
        <v>320</v>
      </c>
      <c r="C118" s="66" t="s">
        <v>2751</v>
      </c>
      <c r="D118" s="67">
        <v>3</v>
      </c>
      <c r="E118" s="68"/>
      <c r="F118" s="69">
        <v>50</v>
      </c>
      <c r="G118" s="66"/>
      <c r="H118" s="70"/>
      <c r="I118" s="71"/>
      <c r="J118" s="71"/>
      <c r="K118" s="34" t="s">
        <v>65</v>
      </c>
      <c r="L118" s="78">
        <v>118</v>
      </c>
      <c r="M118" s="78"/>
      <c r="N118" s="73"/>
      <c r="O118" s="89" t="s">
        <v>494</v>
      </c>
      <c r="P118">
        <v>1</v>
      </c>
      <c r="Q118" s="88" t="str">
        <f>REPLACE(INDEX(GroupVertices[Group],MATCH(Edges[[#This Row],[Vertex 1]],GroupVertices[Vertex],0)),1,1,"")</f>
        <v>2</v>
      </c>
      <c r="R118" s="88" t="str">
        <f>REPLACE(INDEX(GroupVertices[Group],MATCH(Edges[[#This Row],[Vertex 2]],GroupVertices[Vertex],0)),1,1,"")</f>
        <v>2</v>
      </c>
      <c r="S118" s="34"/>
      <c r="T118" s="34"/>
      <c r="U118" s="34"/>
      <c r="V118" s="34"/>
      <c r="W118" s="34"/>
      <c r="X118" s="34"/>
      <c r="Y118" s="34"/>
      <c r="Z118" s="34"/>
      <c r="AA118" s="34"/>
    </row>
    <row r="119" spans="1:27" ht="15">
      <c r="A119" s="65" t="s">
        <v>218</v>
      </c>
      <c r="B119" s="65" t="s">
        <v>310</v>
      </c>
      <c r="C119" s="66" t="s">
        <v>2751</v>
      </c>
      <c r="D119" s="67">
        <v>3</v>
      </c>
      <c r="E119" s="68"/>
      <c r="F119" s="69">
        <v>50</v>
      </c>
      <c r="G119" s="66"/>
      <c r="H119" s="70"/>
      <c r="I119" s="71"/>
      <c r="J119" s="71"/>
      <c r="K119" s="34" t="s">
        <v>65</v>
      </c>
      <c r="L119" s="78">
        <v>119</v>
      </c>
      <c r="M119" s="78"/>
      <c r="N119" s="73"/>
      <c r="O119" s="89" t="s">
        <v>494</v>
      </c>
      <c r="P119">
        <v>1</v>
      </c>
      <c r="Q119" s="88" t="str">
        <f>REPLACE(INDEX(GroupVertices[Group],MATCH(Edges[[#This Row],[Vertex 1]],GroupVertices[Vertex],0)),1,1,"")</f>
        <v>2</v>
      </c>
      <c r="R119" s="88" t="str">
        <f>REPLACE(INDEX(GroupVertices[Group],MATCH(Edges[[#This Row],[Vertex 2]],GroupVertices[Vertex],0)),1,1,"")</f>
        <v>2</v>
      </c>
      <c r="S119" s="34"/>
      <c r="T119" s="34"/>
      <c r="U119" s="34"/>
      <c r="V119" s="34"/>
      <c r="W119" s="34"/>
      <c r="X119" s="34"/>
      <c r="Y119" s="34"/>
      <c r="Z119" s="34"/>
      <c r="AA119" s="34"/>
    </row>
    <row r="120" spans="1:27" ht="15">
      <c r="A120" s="65" t="s">
        <v>218</v>
      </c>
      <c r="B120" s="65" t="s">
        <v>321</v>
      </c>
      <c r="C120" s="66" t="s">
        <v>2751</v>
      </c>
      <c r="D120" s="67">
        <v>3</v>
      </c>
      <c r="E120" s="68"/>
      <c r="F120" s="69">
        <v>50</v>
      </c>
      <c r="G120" s="66"/>
      <c r="H120" s="70"/>
      <c r="I120" s="71"/>
      <c r="J120" s="71"/>
      <c r="K120" s="34" t="s">
        <v>65</v>
      </c>
      <c r="L120" s="78">
        <v>120</v>
      </c>
      <c r="M120" s="78"/>
      <c r="N120" s="73"/>
      <c r="O120" s="89" t="s">
        <v>494</v>
      </c>
      <c r="P120">
        <v>1</v>
      </c>
      <c r="Q120" s="88" t="str">
        <f>REPLACE(INDEX(GroupVertices[Group],MATCH(Edges[[#This Row],[Vertex 1]],GroupVertices[Vertex],0)),1,1,"")</f>
        <v>2</v>
      </c>
      <c r="R120" s="88" t="str">
        <f>REPLACE(INDEX(GroupVertices[Group],MATCH(Edges[[#This Row],[Vertex 2]],GroupVertices[Vertex],0)),1,1,"")</f>
        <v>2</v>
      </c>
      <c r="S120" s="34"/>
      <c r="T120" s="34"/>
      <c r="U120" s="34"/>
      <c r="V120" s="34"/>
      <c r="W120" s="34"/>
      <c r="X120" s="34"/>
      <c r="Y120" s="34"/>
      <c r="Z120" s="34"/>
      <c r="AA120" s="34"/>
    </row>
    <row r="121" spans="1:27" ht="15">
      <c r="A121" s="65" t="s">
        <v>218</v>
      </c>
      <c r="B121" s="65" t="s">
        <v>256</v>
      </c>
      <c r="C121" s="66" t="s">
        <v>2751</v>
      </c>
      <c r="D121" s="67">
        <v>3</v>
      </c>
      <c r="E121" s="68"/>
      <c r="F121" s="69">
        <v>50</v>
      </c>
      <c r="G121" s="66"/>
      <c r="H121" s="70"/>
      <c r="I121" s="71"/>
      <c r="J121" s="71"/>
      <c r="K121" s="34" t="s">
        <v>65</v>
      </c>
      <c r="L121" s="78">
        <v>121</v>
      </c>
      <c r="M121" s="78"/>
      <c r="N121" s="73"/>
      <c r="O121" s="89" t="s">
        <v>494</v>
      </c>
      <c r="P121">
        <v>1</v>
      </c>
      <c r="Q121" s="88" t="str">
        <f>REPLACE(INDEX(GroupVertices[Group],MATCH(Edges[[#This Row],[Vertex 1]],GroupVertices[Vertex],0)),1,1,"")</f>
        <v>2</v>
      </c>
      <c r="R121" s="88" t="str">
        <f>REPLACE(INDEX(GroupVertices[Group],MATCH(Edges[[#This Row],[Vertex 2]],GroupVertices[Vertex],0)),1,1,"")</f>
        <v>1</v>
      </c>
      <c r="S121" s="34"/>
      <c r="T121" s="34"/>
      <c r="U121" s="34"/>
      <c r="V121" s="34"/>
      <c r="W121" s="34"/>
      <c r="X121" s="34"/>
      <c r="Y121" s="34"/>
      <c r="Z121" s="34"/>
      <c r="AA121" s="34"/>
    </row>
    <row r="122" spans="1:27" ht="15">
      <c r="A122" s="65" t="s">
        <v>218</v>
      </c>
      <c r="B122" s="65" t="s">
        <v>322</v>
      </c>
      <c r="C122" s="66" t="s">
        <v>2751</v>
      </c>
      <c r="D122" s="67">
        <v>3</v>
      </c>
      <c r="E122" s="68"/>
      <c r="F122" s="69">
        <v>50</v>
      </c>
      <c r="G122" s="66"/>
      <c r="H122" s="70"/>
      <c r="I122" s="71"/>
      <c r="J122" s="71"/>
      <c r="K122" s="34" t="s">
        <v>65</v>
      </c>
      <c r="L122" s="78">
        <v>122</v>
      </c>
      <c r="M122" s="78"/>
      <c r="N122" s="73"/>
      <c r="O122" s="89" t="s">
        <v>494</v>
      </c>
      <c r="P122">
        <v>1</v>
      </c>
      <c r="Q122" s="88" t="str">
        <f>REPLACE(INDEX(GroupVertices[Group],MATCH(Edges[[#This Row],[Vertex 1]],GroupVertices[Vertex],0)),1,1,"")</f>
        <v>2</v>
      </c>
      <c r="R122" s="88" t="str">
        <f>REPLACE(INDEX(GroupVertices[Group],MATCH(Edges[[#This Row],[Vertex 2]],GroupVertices[Vertex],0)),1,1,"")</f>
        <v>2</v>
      </c>
      <c r="S122" s="34"/>
      <c r="T122" s="34"/>
      <c r="U122" s="34"/>
      <c r="V122" s="34"/>
      <c r="W122" s="34"/>
      <c r="X122" s="34"/>
      <c r="Y122" s="34"/>
      <c r="Z122" s="34"/>
      <c r="AA122" s="34"/>
    </row>
    <row r="123" spans="1:27" ht="15">
      <c r="A123" s="65" t="s">
        <v>218</v>
      </c>
      <c r="B123" s="65" t="s">
        <v>264</v>
      </c>
      <c r="C123" s="66" t="s">
        <v>2751</v>
      </c>
      <c r="D123" s="67">
        <v>3</v>
      </c>
      <c r="E123" s="68"/>
      <c r="F123" s="69">
        <v>50</v>
      </c>
      <c r="G123" s="66"/>
      <c r="H123" s="70"/>
      <c r="I123" s="71"/>
      <c r="J123" s="71"/>
      <c r="K123" s="34" t="s">
        <v>65</v>
      </c>
      <c r="L123" s="78">
        <v>123</v>
      </c>
      <c r="M123" s="78"/>
      <c r="N123" s="73"/>
      <c r="O123" s="89" t="s">
        <v>494</v>
      </c>
      <c r="P123">
        <v>1</v>
      </c>
      <c r="Q123" s="88" t="str">
        <f>REPLACE(INDEX(GroupVertices[Group],MATCH(Edges[[#This Row],[Vertex 1]],GroupVertices[Vertex],0)),1,1,"")</f>
        <v>2</v>
      </c>
      <c r="R123" s="88" t="str">
        <f>REPLACE(INDEX(GroupVertices[Group],MATCH(Edges[[#This Row],[Vertex 2]],GroupVertices[Vertex],0)),1,1,"")</f>
        <v>5</v>
      </c>
      <c r="S123" s="34"/>
      <c r="T123" s="34"/>
      <c r="U123" s="34"/>
      <c r="V123" s="34"/>
      <c r="W123" s="34"/>
      <c r="X123" s="34"/>
      <c r="Y123" s="34"/>
      <c r="Z123" s="34"/>
      <c r="AA123" s="34"/>
    </row>
    <row r="124" spans="1:27" ht="15">
      <c r="A124" s="65" t="s">
        <v>218</v>
      </c>
      <c r="B124" s="65" t="s">
        <v>311</v>
      </c>
      <c r="C124" s="66" t="s">
        <v>2751</v>
      </c>
      <c r="D124" s="67">
        <v>3</v>
      </c>
      <c r="E124" s="68"/>
      <c r="F124" s="69">
        <v>50</v>
      </c>
      <c r="G124" s="66"/>
      <c r="H124" s="70"/>
      <c r="I124" s="71"/>
      <c r="J124" s="71"/>
      <c r="K124" s="34" t="s">
        <v>65</v>
      </c>
      <c r="L124" s="78">
        <v>124</v>
      </c>
      <c r="M124" s="78"/>
      <c r="N124" s="73"/>
      <c r="O124" s="89" t="s">
        <v>494</v>
      </c>
      <c r="P124">
        <v>1</v>
      </c>
      <c r="Q124" s="88" t="str">
        <f>REPLACE(INDEX(GroupVertices[Group],MATCH(Edges[[#This Row],[Vertex 1]],GroupVertices[Vertex],0)),1,1,"")</f>
        <v>2</v>
      </c>
      <c r="R124" s="88" t="str">
        <f>REPLACE(INDEX(GroupVertices[Group],MATCH(Edges[[#This Row],[Vertex 2]],GroupVertices[Vertex],0)),1,1,"")</f>
        <v>2</v>
      </c>
      <c r="S124" s="34"/>
      <c r="T124" s="34"/>
      <c r="U124" s="34"/>
      <c r="V124" s="34"/>
      <c r="W124" s="34"/>
      <c r="X124" s="34"/>
      <c r="Y124" s="34"/>
      <c r="Z124" s="34"/>
      <c r="AA124" s="34"/>
    </row>
    <row r="125" spans="1:27" ht="15">
      <c r="A125" s="65" t="s">
        <v>218</v>
      </c>
      <c r="B125" s="65" t="s">
        <v>315</v>
      </c>
      <c r="C125" s="66" t="s">
        <v>2751</v>
      </c>
      <c r="D125" s="67">
        <v>3</v>
      </c>
      <c r="E125" s="68"/>
      <c r="F125" s="69">
        <v>50</v>
      </c>
      <c r="G125" s="66"/>
      <c r="H125" s="70"/>
      <c r="I125" s="71"/>
      <c r="J125" s="71"/>
      <c r="K125" s="34" t="s">
        <v>65</v>
      </c>
      <c r="L125" s="78">
        <v>125</v>
      </c>
      <c r="M125" s="78"/>
      <c r="N125" s="73"/>
      <c r="O125" s="89" t="s">
        <v>494</v>
      </c>
      <c r="P125">
        <v>1</v>
      </c>
      <c r="Q125" s="88" t="str">
        <f>REPLACE(INDEX(GroupVertices[Group],MATCH(Edges[[#This Row],[Vertex 1]],GroupVertices[Vertex],0)),1,1,"")</f>
        <v>2</v>
      </c>
      <c r="R125" s="88" t="str">
        <f>REPLACE(INDEX(GroupVertices[Group],MATCH(Edges[[#This Row],[Vertex 2]],GroupVertices[Vertex],0)),1,1,"")</f>
        <v>2</v>
      </c>
      <c r="S125" s="34"/>
      <c r="T125" s="34"/>
      <c r="U125" s="34"/>
      <c r="V125" s="34"/>
      <c r="W125" s="34"/>
      <c r="X125" s="34"/>
      <c r="Y125" s="34"/>
      <c r="Z125" s="34"/>
      <c r="AA125" s="34"/>
    </row>
    <row r="126" spans="1:27" ht="15">
      <c r="A126" s="65" t="s">
        <v>220</v>
      </c>
      <c r="B126" s="65" t="s">
        <v>218</v>
      </c>
      <c r="C126" s="66" t="s">
        <v>2751</v>
      </c>
      <c r="D126" s="67">
        <v>3</v>
      </c>
      <c r="E126" s="68"/>
      <c r="F126" s="69">
        <v>50</v>
      </c>
      <c r="G126" s="66"/>
      <c r="H126" s="70"/>
      <c r="I126" s="71"/>
      <c r="J126" s="71"/>
      <c r="K126" s="34" t="s">
        <v>65</v>
      </c>
      <c r="L126" s="78">
        <v>126</v>
      </c>
      <c r="M126" s="78"/>
      <c r="N126" s="73"/>
      <c r="O126" s="89" t="s">
        <v>494</v>
      </c>
      <c r="P126">
        <v>1</v>
      </c>
      <c r="Q126" s="88" t="str">
        <f>REPLACE(INDEX(GroupVertices[Group],MATCH(Edges[[#This Row],[Vertex 1]],GroupVertices[Vertex],0)),1,1,"")</f>
        <v>5</v>
      </c>
      <c r="R126" s="88" t="str">
        <f>REPLACE(INDEX(GroupVertices[Group],MATCH(Edges[[#This Row],[Vertex 2]],GroupVertices[Vertex],0)),1,1,"")</f>
        <v>2</v>
      </c>
      <c r="S126" s="34"/>
      <c r="T126" s="34"/>
      <c r="U126" s="34"/>
      <c r="V126" s="34"/>
      <c r="W126" s="34"/>
      <c r="X126" s="34"/>
      <c r="Y126" s="34"/>
      <c r="Z126" s="34"/>
      <c r="AA126" s="34"/>
    </row>
    <row r="127" spans="1:27" ht="15">
      <c r="A127" s="65" t="s">
        <v>220</v>
      </c>
      <c r="B127" s="65" t="s">
        <v>323</v>
      </c>
      <c r="C127" s="66" t="s">
        <v>2751</v>
      </c>
      <c r="D127" s="67">
        <v>3</v>
      </c>
      <c r="E127" s="68"/>
      <c r="F127" s="69">
        <v>50</v>
      </c>
      <c r="G127" s="66"/>
      <c r="H127" s="70"/>
      <c r="I127" s="71"/>
      <c r="J127" s="71"/>
      <c r="K127" s="34" t="s">
        <v>65</v>
      </c>
      <c r="L127" s="78">
        <v>127</v>
      </c>
      <c r="M127" s="78"/>
      <c r="N127" s="73"/>
      <c r="O127" s="89" t="s">
        <v>494</v>
      </c>
      <c r="P127">
        <v>1</v>
      </c>
      <c r="Q127" s="88" t="str">
        <f>REPLACE(INDEX(GroupVertices[Group],MATCH(Edges[[#This Row],[Vertex 1]],GroupVertices[Vertex],0)),1,1,"")</f>
        <v>5</v>
      </c>
      <c r="R127" s="88" t="str">
        <f>REPLACE(INDEX(GroupVertices[Group],MATCH(Edges[[#This Row],[Vertex 2]],GroupVertices[Vertex],0)),1,1,"")</f>
        <v>5</v>
      </c>
      <c r="S127" s="34"/>
      <c r="T127" s="34"/>
      <c r="U127" s="34"/>
      <c r="V127" s="34"/>
      <c r="W127" s="34"/>
      <c r="X127" s="34"/>
      <c r="Y127" s="34"/>
      <c r="Z127" s="34"/>
      <c r="AA127" s="34"/>
    </row>
    <row r="128" spans="1:27" ht="15">
      <c r="A128" s="65" t="s">
        <v>220</v>
      </c>
      <c r="B128" s="65" t="s">
        <v>324</v>
      </c>
      <c r="C128" s="66" t="s">
        <v>2751</v>
      </c>
      <c r="D128" s="67">
        <v>3</v>
      </c>
      <c r="E128" s="68"/>
      <c r="F128" s="69">
        <v>50</v>
      </c>
      <c r="G128" s="66"/>
      <c r="H128" s="70"/>
      <c r="I128" s="71"/>
      <c r="J128" s="71"/>
      <c r="K128" s="34" t="s">
        <v>65</v>
      </c>
      <c r="L128" s="78">
        <v>128</v>
      </c>
      <c r="M128" s="78"/>
      <c r="N128" s="73"/>
      <c r="O128" s="89" t="s">
        <v>494</v>
      </c>
      <c r="P128">
        <v>1</v>
      </c>
      <c r="Q128" s="88" t="str">
        <f>REPLACE(INDEX(GroupVertices[Group],MATCH(Edges[[#This Row],[Vertex 1]],GroupVertices[Vertex],0)),1,1,"")</f>
        <v>5</v>
      </c>
      <c r="R128" s="88" t="str">
        <f>REPLACE(INDEX(GroupVertices[Group],MATCH(Edges[[#This Row],[Vertex 2]],GroupVertices[Vertex],0)),1,1,"")</f>
        <v>5</v>
      </c>
      <c r="S128" s="34"/>
      <c r="T128" s="34"/>
      <c r="U128" s="34"/>
      <c r="V128" s="34"/>
      <c r="W128" s="34"/>
      <c r="X128" s="34"/>
      <c r="Y128" s="34"/>
      <c r="Z128" s="34"/>
      <c r="AA128" s="34"/>
    </row>
    <row r="129" spans="1:27" ht="15">
      <c r="A129" s="65" t="s">
        <v>220</v>
      </c>
      <c r="B129" s="65" t="s">
        <v>325</v>
      </c>
      <c r="C129" s="66" t="s">
        <v>2751</v>
      </c>
      <c r="D129" s="67">
        <v>3</v>
      </c>
      <c r="E129" s="68"/>
      <c r="F129" s="69">
        <v>50</v>
      </c>
      <c r="G129" s="66"/>
      <c r="H129" s="70"/>
      <c r="I129" s="71"/>
      <c r="J129" s="71"/>
      <c r="K129" s="34" t="s">
        <v>65</v>
      </c>
      <c r="L129" s="78">
        <v>129</v>
      </c>
      <c r="M129" s="78"/>
      <c r="N129" s="73"/>
      <c r="O129" s="89" t="s">
        <v>494</v>
      </c>
      <c r="P129">
        <v>1</v>
      </c>
      <c r="Q129" s="88" t="str">
        <f>REPLACE(INDEX(GroupVertices[Group],MATCH(Edges[[#This Row],[Vertex 1]],GroupVertices[Vertex],0)),1,1,"")</f>
        <v>5</v>
      </c>
      <c r="R129" s="88" t="str">
        <f>REPLACE(INDEX(GroupVertices[Group],MATCH(Edges[[#This Row],[Vertex 2]],GroupVertices[Vertex],0)),1,1,"")</f>
        <v>5</v>
      </c>
      <c r="S129" s="34"/>
      <c r="T129" s="34"/>
      <c r="U129" s="34"/>
      <c r="V129" s="34"/>
      <c r="W129" s="34"/>
      <c r="X129" s="34"/>
      <c r="Y129" s="34"/>
      <c r="Z129" s="34"/>
      <c r="AA129" s="34"/>
    </row>
    <row r="130" spans="1:27" ht="15">
      <c r="A130" s="65" t="s">
        <v>220</v>
      </c>
      <c r="B130" s="65" t="s">
        <v>326</v>
      </c>
      <c r="C130" s="66" t="s">
        <v>2751</v>
      </c>
      <c r="D130" s="67">
        <v>3</v>
      </c>
      <c r="E130" s="68"/>
      <c r="F130" s="69">
        <v>50</v>
      </c>
      <c r="G130" s="66"/>
      <c r="H130" s="70"/>
      <c r="I130" s="71"/>
      <c r="J130" s="71"/>
      <c r="K130" s="34" t="s">
        <v>65</v>
      </c>
      <c r="L130" s="78">
        <v>130</v>
      </c>
      <c r="M130" s="78"/>
      <c r="N130" s="73"/>
      <c r="O130" s="89" t="s">
        <v>494</v>
      </c>
      <c r="P130">
        <v>1</v>
      </c>
      <c r="Q130" s="88" t="str">
        <f>REPLACE(INDEX(GroupVertices[Group],MATCH(Edges[[#This Row],[Vertex 1]],GroupVertices[Vertex],0)),1,1,"")</f>
        <v>5</v>
      </c>
      <c r="R130" s="88" t="str">
        <f>REPLACE(INDEX(GroupVertices[Group],MATCH(Edges[[#This Row],[Vertex 2]],GroupVertices[Vertex],0)),1,1,"")</f>
        <v>5</v>
      </c>
      <c r="S130" s="34"/>
      <c r="T130" s="34"/>
      <c r="U130" s="34"/>
      <c r="V130" s="34"/>
      <c r="W130" s="34"/>
      <c r="X130" s="34"/>
      <c r="Y130" s="34"/>
      <c r="Z130" s="34"/>
      <c r="AA130" s="34"/>
    </row>
    <row r="131" spans="1:27" ht="15">
      <c r="A131" s="65" t="s">
        <v>220</v>
      </c>
      <c r="B131" s="65" t="s">
        <v>327</v>
      </c>
      <c r="C131" s="66" t="s">
        <v>2751</v>
      </c>
      <c r="D131" s="67">
        <v>3</v>
      </c>
      <c r="E131" s="68"/>
      <c r="F131" s="69">
        <v>50</v>
      </c>
      <c r="G131" s="66"/>
      <c r="H131" s="70"/>
      <c r="I131" s="71"/>
      <c r="J131" s="71"/>
      <c r="K131" s="34" t="s">
        <v>65</v>
      </c>
      <c r="L131" s="78">
        <v>131</v>
      </c>
      <c r="M131" s="78"/>
      <c r="N131" s="73"/>
      <c r="O131" s="89" t="s">
        <v>494</v>
      </c>
      <c r="P131">
        <v>1</v>
      </c>
      <c r="Q131" s="88" t="str">
        <f>REPLACE(INDEX(GroupVertices[Group],MATCH(Edges[[#This Row],[Vertex 1]],GroupVertices[Vertex],0)),1,1,"")</f>
        <v>5</v>
      </c>
      <c r="R131" s="88" t="str">
        <f>REPLACE(INDEX(GroupVertices[Group],MATCH(Edges[[#This Row],[Vertex 2]],GroupVertices[Vertex],0)),1,1,"")</f>
        <v>5</v>
      </c>
      <c r="S131" s="34"/>
      <c r="T131" s="34"/>
      <c r="U131" s="34"/>
      <c r="V131" s="34"/>
      <c r="W131" s="34"/>
      <c r="X131" s="34"/>
      <c r="Y131" s="34"/>
      <c r="Z131" s="34"/>
      <c r="AA131" s="34"/>
    </row>
    <row r="132" spans="1:27" ht="15">
      <c r="A132" s="65" t="s">
        <v>220</v>
      </c>
      <c r="B132" s="65" t="s">
        <v>247</v>
      </c>
      <c r="C132" s="66" t="s">
        <v>2751</v>
      </c>
      <c r="D132" s="67">
        <v>3</v>
      </c>
      <c r="E132" s="68"/>
      <c r="F132" s="69">
        <v>50</v>
      </c>
      <c r="G132" s="66"/>
      <c r="H132" s="70"/>
      <c r="I132" s="71"/>
      <c r="J132" s="71"/>
      <c r="K132" s="34" t="s">
        <v>65</v>
      </c>
      <c r="L132" s="78">
        <v>132</v>
      </c>
      <c r="M132" s="78"/>
      <c r="N132" s="73"/>
      <c r="O132" s="89" t="s">
        <v>494</v>
      </c>
      <c r="P132">
        <v>1</v>
      </c>
      <c r="Q132" s="88" t="str">
        <f>REPLACE(INDEX(GroupVertices[Group],MATCH(Edges[[#This Row],[Vertex 1]],GroupVertices[Vertex],0)),1,1,"")</f>
        <v>5</v>
      </c>
      <c r="R132" s="88" t="str">
        <f>REPLACE(INDEX(GroupVertices[Group],MATCH(Edges[[#This Row],[Vertex 2]],GroupVertices[Vertex],0)),1,1,"")</f>
        <v>3</v>
      </c>
      <c r="S132" s="34"/>
      <c r="T132" s="34"/>
      <c r="U132" s="34"/>
      <c r="V132" s="34"/>
      <c r="W132" s="34"/>
      <c r="X132" s="34"/>
      <c r="Y132" s="34"/>
      <c r="Z132" s="34"/>
      <c r="AA132" s="34"/>
    </row>
    <row r="133" spans="1:27" ht="15">
      <c r="A133" s="65" t="s">
        <v>220</v>
      </c>
      <c r="B133" s="65" t="s">
        <v>328</v>
      </c>
      <c r="C133" s="66" t="s">
        <v>2751</v>
      </c>
      <c r="D133" s="67">
        <v>3</v>
      </c>
      <c r="E133" s="68"/>
      <c r="F133" s="69">
        <v>50</v>
      </c>
      <c r="G133" s="66"/>
      <c r="H133" s="70"/>
      <c r="I133" s="71"/>
      <c r="J133" s="71"/>
      <c r="K133" s="34" t="s">
        <v>65</v>
      </c>
      <c r="L133" s="78">
        <v>133</v>
      </c>
      <c r="M133" s="78"/>
      <c r="N133" s="73"/>
      <c r="O133" s="89" t="s">
        <v>494</v>
      </c>
      <c r="P133">
        <v>1</v>
      </c>
      <c r="Q133" s="88" t="str">
        <f>REPLACE(INDEX(GroupVertices[Group],MATCH(Edges[[#This Row],[Vertex 1]],GroupVertices[Vertex],0)),1,1,"")</f>
        <v>5</v>
      </c>
      <c r="R133" s="88" t="str">
        <f>REPLACE(INDEX(GroupVertices[Group],MATCH(Edges[[#This Row],[Vertex 2]],GroupVertices[Vertex],0)),1,1,"")</f>
        <v>5</v>
      </c>
      <c r="S133" s="34"/>
      <c r="T133" s="34"/>
      <c r="U133" s="34"/>
      <c r="V133" s="34"/>
      <c r="W133" s="34"/>
      <c r="X133" s="34"/>
      <c r="Y133" s="34"/>
      <c r="Z133" s="34"/>
      <c r="AA133" s="34"/>
    </row>
    <row r="134" spans="1:27" ht="15">
      <c r="A134" s="65" t="s">
        <v>220</v>
      </c>
      <c r="B134" s="65" t="s">
        <v>329</v>
      </c>
      <c r="C134" s="66" t="s">
        <v>2751</v>
      </c>
      <c r="D134" s="67">
        <v>3</v>
      </c>
      <c r="E134" s="68"/>
      <c r="F134" s="69">
        <v>50</v>
      </c>
      <c r="G134" s="66"/>
      <c r="H134" s="70"/>
      <c r="I134" s="71"/>
      <c r="J134" s="71"/>
      <c r="K134" s="34" t="s">
        <v>65</v>
      </c>
      <c r="L134" s="78">
        <v>134</v>
      </c>
      <c r="M134" s="78"/>
      <c r="N134" s="73"/>
      <c r="O134" s="89" t="s">
        <v>494</v>
      </c>
      <c r="P134">
        <v>1</v>
      </c>
      <c r="Q134" s="88" t="str">
        <f>REPLACE(INDEX(GroupVertices[Group],MATCH(Edges[[#This Row],[Vertex 1]],GroupVertices[Vertex],0)),1,1,"")</f>
        <v>5</v>
      </c>
      <c r="R134" s="88" t="str">
        <f>REPLACE(INDEX(GroupVertices[Group],MATCH(Edges[[#This Row],[Vertex 2]],GroupVertices[Vertex],0)),1,1,"")</f>
        <v>5</v>
      </c>
      <c r="S134" s="34"/>
      <c r="T134" s="34"/>
      <c r="U134" s="34"/>
      <c r="V134" s="34"/>
      <c r="W134" s="34"/>
      <c r="X134" s="34"/>
      <c r="Y134" s="34"/>
      <c r="Z134" s="34"/>
      <c r="AA134" s="34"/>
    </row>
    <row r="135" spans="1:27" ht="15">
      <c r="A135" s="65" t="s">
        <v>220</v>
      </c>
      <c r="B135" s="65" t="s">
        <v>264</v>
      </c>
      <c r="C135" s="66" t="s">
        <v>2751</v>
      </c>
      <c r="D135" s="67">
        <v>3</v>
      </c>
      <c r="E135" s="68"/>
      <c r="F135" s="69">
        <v>50</v>
      </c>
      <c r="G135" s="66"/>
      <c r="H135" s="70"/>
      <c r="I135" s="71"/>
      <c r="J135" s="71"/>
      <c r="K135" s="34" t="s">
        <v>65</v>
      </c>
      <c r="L135" s="78">
        <v>135</v>
      </c>
      <c r="M135" s="78"/>
      <c r="N135" s="73"/>
      <c r="O135" s="89" t="s">
        <v>494</v>
      </c>
      <c r="P135">
        <v>1</v>
      </c>
      <c r="Q135" s="88" t="str">
        <f>REPLACE(INDEX(GroupVertices[Group],MATCH(Edges[[#This Row],[Vertex 1]],GroupVertices[Vertex],0)),1,1,"")</f>
        <v>5</v>
      </c>
      <c r="R135" s="88" t="str">
        <f>REPLACE(INDEX(GroupVertices[Group],MATCH(Edges[[#This Row],[Vertex 2]],GroupVertices[Vertex],0)),1,1,"")</f>
        <v>5</v>
      </c>
      <c r="S135" s="34"/>
      <c r="T135" s="34"/>
      <c r="U135" s="34"/>
      <c r="V135" s="34"/>
      <c r="W135" s="34"/>
      <c r="X135" s="34"/>
      <c r="Y135" s="34"/>
      <c r="Z135" s="34"/>
      <c r="AA135" s="34"/>
    </row>
    <row r="136" spans="1:27" ht="15">
      <c r="A136" s="65" t="s">
        <v>220</v>
      </c>
      <c r="B136" s="65" t="s">
        <v>265</v>
      </c>
      <c r="C136" s="66" t="s">
        <v>2751</v>
      </c>
      <c r="D136" s="67">
        <v>3</v>
      </c>
      <c r="E136" s="68"/>
      <c r="F136" s="69">
        <v>50</v>
      </c>
      <c r="G136" s="66"/>
      <c r="H136" s="70"/>
      <c r="I136" s="71"/>
      <c r="J136" s="71"/>
      <c r="K136" s="34" t="s">
        <v>65</v>
      </c>
      <c r="L136" s="78">
        <v>136</v>
      </c>
      <c r="M136" s="78"/>
      <c r="N136" s="73"/>
      <c r="O136" s="89" t="s">
        <v>494</v>
      </c>
      <c r="P136">
        <v>1</v>
      </c>
      <c r="Q136" s="88" t="str">
        <f>REPLACE(INDEX(GroupVertices[Group],MATCH(Edges[[#This Row],[Vertex 1]],GroupVertices[Vertex],0)),1,1,"")</f>
        <v>5</v>
      </c>
      <c r="R136" s="88" t="str">
        <f>REPLACE(INDEX(GroupVertices[Group],MATCH(Edges[[#This Row],[Vertex 2]],GroupVertices[Vertex],0)),1,1,"")</f>
        <v>5</v>
      </c>
      <c r="S136" s="34"/>
      <c r="T136" s="34"/>
      <c r="U136" s="34"/>
      <c r="V136" s="34"/>
      <c r="W136" s="34"/>
      <c r="X136" s="34"/>
      <c r="Y136" s="34"/>
      <c r="Z136" s="34"/>
      <c r="AA136" s="34"/>
    </row>
    <row r="137" spans="1:27" ht="15">
      <c r="A137" s="65" t="s">
        <v>220</v>
      </c>
      <c r="B137" s="65" t="s">
        <v>321</v>
      </c>
      <c r="C137" s="66" t="s">
        <v>2751</v>
      </c>
      <c r="D137" s="67">
        <v>3</v>
      </c>
      <c r="E137" s="68"/>
      <c r="F137" s="69">
        <v>50</v>
      </c>
      <c r="G137" s="66"/>
      <c r="H137" s="70"/>
      <c r="I137" s="71"/>
      <c r="J137" s="71"/>
      <c r="K137" s="34" t="s">
        <v>65</v>
      </c>
      <c r="L137" s="78">
        <v>137</v>
      </c>
      <c r="M137" s="78"/>
      <c r="N137" s="73"/>
      <c r="O137" s="89" t="s">
        <v>494</v>
      </c>
      <c r="P137">
        <v>1</v>
      </c>
      <c r="Q137" s="88" t="str">
        <f>REPLACE(INDEX(GroupVertices[Group],MATCH(Edges[[#This Row],[Vertex 1]],GroupVertices[Vertex],0)),1,1,"")</f>
        <v>5</v>
      </c>
      <c r="R137" s="88" t="str">
        <f>REPLACE(INDEX(GroupVertices[Group],MATCH(Edges[[#This Row],[Vertex 2]],GroupVertices[Vertex],0)),1,1,"")</f>
        <v>2</v>
      </c>
      <c r="S137" s="34"/>
      <c r="T137" s="34"/>
      <c r="U137" s="34"/>
      <c r="V137" s="34"/>
      <c r="W137" s="34"/>
      <c r="X137" s="34"/>
      <c r="Y137" s="34"/>
      <c r="Z137" s="34"/>
      <c r="AA137" s="34"/>
    </row>
    <row r="138" spans="1:27" ht="15">
      <c r="A138" s="65" t="s">
        <v>220</v>
      </c>
      <c r="B138" s="65" t="s">
        <v>261</v>
      </c>
      <c r="C138" s="66" t="s">
        <v>2751</v>
      </c>
      <c r="D138" s="67">
        <v>3</v>
      </c>
      <c r="E138" s="68"/>
      <c r="F138" s="69">
        <v>50</v>
      </c>
      <c r="G138" s="66"/>
      <c r="H138" s="70"/>
      <c r="I138" s="71"/>
      <c r="J138" s="71"/>
      <c r="K138" s="34" t="s">
        <v>65</v>
      </c>
      <c r="L138" s="78">
        <v>138</v>
      </c>
      <c r="M138" s="78"/>
      <c r="N138" s="73"/>
      <c r="O138" s="89" t="s">
        <v>494</v>
      </c>
      <c r="P138">
        <v>1</v>
      </c>
      <c r="Q138" s="88" t="str">
        <f>REPLACE(INDEX(GroupVertices[Group],MATCH(Edges[[#This Row],[Vertex 1]],GroupVertices[Vertex],0)),1,1,"")</f>
        <v>5</v>
      </c>
      <c r="R138" s="88" t="str">
        <f>REPLACE(INDEX(GroupVertices[Group],MATCH(Edges[[#This Row],[Vertex 2]],GroupVertices[Vertex],0)),1,1,"")</f>
        <v>5</v>
      </c>
      <c r="S138" s="34"/>
      <c r="T138" s="34"/>
      <c r="U138" s="34"/>
      <c r="V138" s="34"/>
      <c r="W138" s="34"/>
      <c r="X138" s="34"/>
      <c r="Y138" s="34"/>
      <c r="Z138" s="34"/>
      <c r="AA138" s="34"/>
    </row>
    <row r="139" spans="1:27" ht="15">
      <c r="A139" s="65" t="s">
        <v>220</v>
      </c>
      <c r="B139" s="65" t="s">
        <v>259</v>
      </c>
      <c r="C139" s="66" t="s">
        <v>2751</v>
      </c>
      <c r="D139" s="67">
        <v>3</v>
      </c>
      <c r="E139" s="68"/>
      <c r="F139" s="69">
        <v>50</v>
      </c>
      <c r="G139" s="66"/>
      <c r="H139" s="70"/>
      <c r="I139" s="71"/>
      <c r="J139" s="71"/>
      <c r="K139" s="34" t="s">
        <v>65</v>
      </c>
      <c r="L139" s="78">
        <v>139</v>
      </c>
      <c r="M139" s="78"/>
      <c r="N139" s="73"/>
      <c r="O139" s="89" t="s">
        <v>494</v>
      </c>
      <c r="P139">
        <v>1</v>
      </c>
      <c r="Q139" s="88" t="str">
        <f>REPLACE(INDEX(GroupVertices[Group],MATCH(Edges[[#This Row],[Vertex 1]],GroupVertices[Vertex],0)),1,1,"")</f>
        <v>5</v>
      </c>
      <c r="R139" s="88" t="str">
        <f>REPLACE(INDEX(GroupVertices[Group],MATCH(Edges[[#This Row],[Vertex 2]],GroupVertices[Vertex],0)),1,1,"")</f>
        <v>2</v>
      </c>
      <c r="S139" s="34"/>
      <c r="T139" s="34"/>
      <c r="U139" s="34"/>
      <c r="V139" s="34"/>
      <c r="W139" s="34"/>
      <c r="X139" s="34"/>
      <c r="Y139" s="34"/>
      <c r="Z139" s="34"/>
      <c r="AA139" s="34"/>
    </row>
    <row r="140" spans="1:27" ht="15">
      <c r="A140" s="65" t="s">
        <v>220</v>
      </c>
      <c r="B140" s="65" t="s">
        <v>266</v>
      </c>
      <c r="C140" s="66" t="s">
        <v>2751</v>
      </c>
      <c r="D140" s="67">
        <v>3</v>
      </c>
      <c r="E140" s="68"/>
      <c r="F140" s="69">
        <v>50</v>
      </c>
      <c r="G140" s="66"/>
      <c r="H140" s="70"/>
      <c r="I140" s="71"/>
      <c r="J140" s="71"/>
      <c r="K140" s="34" t="s">
        <v>65</v>
      </c>
      <c r="L140" s="78">
        <v>140</v>
      </c>
      <c r="M140" s="78"/>
      <c r="N140" s="73"/>
      <c r="O140" s="89" t="s">
        <v>494</v>
      </c>
      <c r="P140">
        <v>1</v>
      </c>
      <c r="Q140" s="88" t="str">
        <f>REPLACE(INDEX(GroupVertices[Group],MATCH(Edges[[#This Row],[Vertex 1]],GroupVertices[Vertex],0)),1,1,"")</f>
        <v>5</v>
      </c>
      <c r="R140" s="88" t="str">
        <f>REPLACE(INDEX(GroupVertices[Group],MATCH(Edges[[#This Row],[Vertex 2]],GroupVertices[Vertex],0)),1,1,"")</f>
        <v>2</v>
      </c>
      <c r="S140" s="34"/>
      <c r="T140" s="34"/>
      <c r="U140" s="34"/>
      <c r="V140" s="34"/>
      <c r="W140" s="34"/>
      <c r="X140" s="34"/>
      <c r="Y140" s="34"/>
      <c r="Z140" s="34"/>
      <c r="AA140" s="34"/>
    </row>
    <row r="141" spans="1:27" ht="15">
      <c r="A141" s="65" t="s">
        <v>220</v>
      </c>
      <c r="B141" s="65" t="s">
        <v>330</v>
      </c>
      <c r="C141" s="66" t="s">
        <v>2751</v>
      </c>
      <c r="D141" s="67">
        <v>3</v>
      </c>
      <c r="E141" s="68"/>
      <c r="F141" s="69">
        <v>50</v>
      </c>
      <c r="G141" s="66"/>
      <c r="H141" s="70"/>
      <c r="I141" s="71"/>
      <c r="J141" s="71"/>
      <c r="K141" s="34" t="s">
        <v>65</v>
      </c>
      <c r="L141" s="78">
        <v>141</v>
      </c>
      <c r="M141" s="78"/>
      <c r="N141" s="73"/>
      <c r="O141" s="89" t="s">
        <v>494</v>
      </c>
      <c r="P141">
        <v>1</v>
      </c>
      <c r="Q141" s="88" t="str">
        <f>REPLACE(INDEX(GroupVertices[Group],MATCH(Edges[[#This Row],[Vertex 1]],GroupVertices[Vertex],0)),1,1,"")</f>
        <v>5</v>
      </c>
      <c r="R141" s="88" t="str">
        <f>REPLACE(INDEX(GroupVertices[Group],MATCH(Edges[[#This Row],[Vertex 2]],GroupVertices[Vertex],0)),1,1,"")</f>
        <v>6</v>
      </c>
      <c r="S141" s="34"/>
      <c r="T141" s="34"/>
      <c r="U141" s="34"/>
      <c r="V141" s="34"/>
      <c r="W141" s="34"/>
      <c r="X141" s="34"/>
      <c r="Y141" s="34"/>
      <c r="Z141" s="34"/>
      <c r="AA141" s="34"/>
    </row>
    <row r="142" spans="1:27" ht="15">
      <c r="A142" s="65" t="s">
        <v>220</v>
      </c>
      <c r="B142" s="65" t="s">
        <v>331</v>
      </c>
      <c r="C142" s="66" t="s">
        <v>2751</v>
      </c>
      <c r="D142" s="67">
        <v>3</v>
      </c>
      <c r="E142" s="68"/>
      <c r="F142" s="69">
        <v>50</v>
      </c>
      <c r="G142" s="66"/>
      <c r="H142" s="70"/>
      <c r="I142" s="71"/>
      <c r="J142" s="71"/>
      <c r="K142" s="34" t="s">
        <v>65</v>
      </c>
      <c r="L142" s="78">
        <v>142</v>
      </c>
      <c r="M142" s="78"/>
      <c r="N142" s="73"/>
      <c r="O142" s="89" t="s">
        <v>494</v>
      </c>
      <c r="P142">
        <v>1</v>
      </c>
      <c r="Q142" s="88" t="str">
        <f>REPLACE(INDEX(GroupVertices[Group],MATCH(Edges[[#This Row],[Vertex 1]],GroupVertices[Vertex],0)),1,1,"")</f>
        <v>5</v>
      </c>
      <c r="R142" s="88" t="str">
        <f>REPLACE(INDEX(GroupVertices[Group],MATCH(Edges[[#This Row],[Vertex 2]],GroupVertices[Vertex],0)),1,1,"")</f>
        <v>5</v>
      </c>
      <c r="S142" s="34"/>
      <c r="T142" s="34"/>
      <c r="U142" s="34"/>
      <c r="V142" s="34"/>
      <c r="W142" s="34"/>
      <c r="X142" s="34"/>
      <c r="Y142" s="34"/>
      <c r="Z142" s="34"/>
      <c r="AA142" s="34"/>
    </row>
    <row r="143" spans="1:27" ht="15">
      <c r="A143" s="65" t="s">
        <v>221</v>
      </c>
      <c r="B143" s="65" t="s">
        <v>332</v>
      </c>
      <c r="C143" s="66" t="s">
        <v>2751</v>
      </c>
      <c r="D143" s="67">
        <v>3</v>
      </c>
      <c r="E143" s="68"/>
      <c r="F143" s="69">
        <v>50</v>
      </c>
      <c r="G143" s="66"/>
      <c r="H143" s="70"/>
      <c r="I143" s="71"/>
      <c r="J143" s="71"/>
      <c r="K143" s="34" t="s">
        <v>65</v>
      </c>
      <c r="L143" s="78">
        <v>143</v>
      </c>
      <c r="M143" s="78"/>
      <c r="N143" s="73"/>
      <c r="O143" s="89" t="s">
        <v>494</v>
      </c>
      <c r="P143">
        <v>1</v>
      </c>
      <c r="Q143" s="88" t="str">
        <f>REPLACE(INDEX(GroupVertices[Group],MATCH(Edges[[#This Row],[Vertex 1]],GroupVertices[Vertex],0)),1,1,"")</f>
        <v>2</v>
      </c>
      <c r="R143" s="88" t="str">
        <f>REPLACE(INDEX(GroupVertices[Group],MATCH(Edges[[#This Row],[Vertex 2]],GroupVertices[Vertex],0)),1,1,"")</f>
        <v>2</v>
      </c>
      <c r="S143" s="34"/>
      <c r="T143" s="34"/>
      <c r="U143" s="34"/>
      <c r="V143" s="34"/>
      <c r="W143" s="34"/>
      <c r="X143" s="34"/>
      <c r="Y143" s="34"/>
      <c r="Z143" s="34"/>
      <c r="AA143" s="34"/>
    </row>
    <row r="144" spans="1:27" ht="15">
      <c r="A144" s="65" t="s">
        <v>221</v>
      </c>
      <c r="B144" s="65" t="s">
        <v>333</v>
      </c>
      <c r="C144" s="66" t="s">
        <v>2751</v>
      </c>
      <c r="D144" s="67">
        <v>3</v>
      </c>
      <c r="E144" s="68"/>
      <c r="F144" s="69">
        <v>50</v>
      </c>
      <c r="G144" s="66"/>
      <c r="H144" s="70"/>
      <c r="I144" s="71"/>
      <c r="J144" s="71"/>
      <c r="K144" s="34" t="s">
        <v>65</v>
      </c>
      <c r="L144" s="78">
        <v>144</v>
      </c>
      <c r="M144" s="78"/>
      <c r="N144" s="73"/>
      <c r="O144" s="89" t="s">
        <v>494</v>
      </c>
      <c r="P144">
        <v>1</v>
      </c>
      <c r="Q144" s="88" t="str">
        <f>REPLACE(INDEX(GroupVertices[Group],MATCH(Edges[[#This Row],[Vertex 1]],GroupVertices[Vertex],0)),1,1,"")</f>
        <v>2</v>
      </c>
      <c r="R144" s="88" t="str">
        <f>REPLACE(INDEX(GroupVertices[Group],MATCH(Edges[[#This Row],[Vertex 2]],GroupVertices[Vertex],0)),1,1,"")</f>
        <v>2</v>
      </c>
      <c r="S144" s="34"/>
      <c r="T144" s="34"/>
      <c r="U144" s="34"/>
      <c r="V144" s="34"/>
      <c r="W144" s="34"/>
      <c r="X144" s="34"/>
      <c r="Y144" s="34"/>
      <c r="Z144" s="34"/>
      <c r="AA144" s="34"/>
    </row>
    <row r="145" spans="1:27" ht="15">
      <c r="A145" s="65" t="s">
        <v>221</v>
      </c>
      <c r="B145" s="65" t="s">
        <v>334</v>
      </c>
      <c r="C145" s="66" t="s">
        <v>2751</v>
      </c>
      <c r="D145" s="67">
        <v>3</v>
      </c>
      <c r="E145" s="68"/>
      <c r="F145" s="69">
        <v>50</v>
      </c>
      <c r="G145" s="66"/>
      <c r="H145" s="70"/>
      <c r="I145" s="71"/>
      <c r="J145" s="71"/>
      <c r="K145" s="34" t="s">
        <v>65</v>
      </c>
      <c r="L145" s="78">
        <v>145</v>
      </c>
      <c r="M145" s="78"/>
      <c r="N145" s="73"/>
      <c r="O145" s="89" t="s">
        <v>494</v>
      </c>
      <c r="P145">
        <v>1</v>
      </c>
      <c r="Q145" s="88" t="str">
        <f>REPLACE(INDEX(GroupVertices[Group],MATCH(Edges[[#This Row],[Vertex 1]],GroupVertices[Vertex],0)),1,1,"")</f>
        <v>2</v>
      </c>
      <c r="R145" s="88" t="str">
        <f>REPLACE(INDEX(GroupVertices[Group],MATCH(Edges[[#This Row],[Vertex 2]],GroupVertices[Vertex],0)),1,1,"")</f>
        <v>2</v>
      </c>
      <c r="S145" s="34"/>
      <c r="T145" s="34"/>
      <c r="U145" s="34"/>
      <c r="V145" s="34"/>
      <c r="W145" s="34"/>
      <c r="X145" s="34"/>
      <c r="Y145" s="34"/>
      <c r="Z145" s="34"/>
      <c r="AA145" s="34"/>
    </row>
    <row r="146" spans="1:27" ht="15">
      <c r="A146" s="65" t="s">
        <v>221</v>
      </c>
      <c r="B146" s="65" t="s">
        <v>257</v>
      </c>
      <c r="C146" s="66" t="s">
        <v>2751</v>
      </c>
      <c r="D146" s="67">
        <v>3</v>
      </c>
      <c r="E146" s="68"/>
      <c r="F146" s="69">
        <v>50</v>
      </c>
      <c r="G146" s="66"/>
      <c r="H146" s="70"/>
      <c r="I146" s="71"/>
      <c r="J146" s="71"/>
      <c r="K146" s="34" t="s">
        <v>65</v>
      </c>
      <c r="L146" s="78">
        <v>146</v>
      </c>
      <c r="M146" s="78"/>
      <c r="N146" s="73"/>
      <c r="O146" s="89" t="s">
        <v>494</v>
      </c>
      <c r="P146">
        <v>1</v>
      </c>
      <c r="Q146" s="88" t="str">
        <f>REPLACE(INDEX(GroupVertices[Group],MATCH(Edges[[#This Row],[Vertex 1]],GroupVertices[Vertex],0)),1,1,"")</f>
        <v>2</v>
      </c>
      <c r="R146" s="88" t="str">
        <f>REPLACE(INDEX(GroupVertices[Group],MATCH(Edges[[#This Row],[Vertex 2]],GroupVertices[Vertex],0)),1,1,"")</f>
        <v>2</v>
      </c>
      <c r="S146" s="34"/>
      <c r="T146" s="34"/>
      <c r="U146" s="34"/>
      <c r="V146" s="34"/>
      <c r="W146" s="34"/>
      <c r="X146" s="34"/>
      <c r="Y146" s="34"/>
      <c r="Z146" s="34"/>
      <c r="AA146" s="34"/>
    </row>
    <row r="147" spans="1:27" ht="15">
      <c r="A147" s="65" t="s">
        <v>221</v>
      </c>
      <c r="B147" s="65" t="s">
        <v>259</v>
      </c>
      <c r="C147" s="66" t="s">
        <v>2751</v>
      </c>
      <c r="D147" s="67">
        <v>3</v>
      </c>
      <c r="E147" s="68"/>
      <c r="F147" s="69">
        <v>50</v>
      </c>
      <c r="G147" s="66"/>
      <c r="H147" s="70"/>
      <c r="I147" s="71"/>
      <c r="J147" s="71"/>
      <c r="K147" s="34" t="s">
        <v>65</v>
      </c>
      <c r="L147" s="78">
        <v>147</v>
      </c>
      <c r="M147" s="78"/>
      <c r="N147" s="73"/>
      <c r="O147" s="89" t="s">
        <v>494</v>
      </c>
      <c r="P147">
        <v>1</v>
      </c>
      <c r="Q147" s="88" t="str">
        <f>REPLACE(INDEX(GroupVertices[Group],MATCH(Edges[[#This Row],[Vertex 1]],GroupVertices[Vertex],0)),1,1,"")</f>
        <v>2</v>
      </c>
      <c r="R147" s="88" t="str">
        <f>REPLACE(INDEX(GroupVertices[Group],MATCH(Edges[[#This Row],[Vertex 2]],GroupVertices[Vertex],0)),1,1,"")</f>
        <v>2</v>
      </c>
      <c r="S147" s="34"/>
      <c r="T147" s="34"/>
      <c r="U147" s="34"/>
      <c r="V147" s="34"/>
      <c r="W147" s="34"/>
      <c r="X147" s="34"/>
      <c r="Y147" s="34"/>
      <c r="Z147" s="34"/>
      <c r="AA147" s="34"/>
    </row>
    <row r="148" spans="1:27" ht="15">
      <c r="A148" s="65" t="s">
        <v>221</v>
      </c>
      <c r="B148" s="65" t="s">
        <v>335</v>
      </c>
      <c r="C148" s="66" t="s">
        <v>2751</v>
      </c>
      <c r="D148" s="67">
        <v>3</v>
      </c>
      <c r="E148" s="68"/>
      <c r="F148" s="69">
        <v>50</v>
      </c>
      <c r="G148" s="66"/>
      <c r="H148" s="70"/>
      <c r="I148" s="71"/>
      <c r="J148" s="71"/>
      <c r="K148" s="34" t="s">
        <v>65</v>
      </c>
      <c r="L148" s="78">
        <v>148</v>
      </c>
      <c r="M148" s="78"/>
      <c r="N148" s="73"/>
      <c r="O148" s="89" t="s">
        <v>494</v>
      </c>
      <c r="P148">
        <v>1</v>
      </c>
      <c r="Q148" s="88" t="str">
        <f>REPLACE(INDEX(GroupVertices[Group],MATCH(Edges[[#This Row],[Vertex 1]],GroupVertices[Vertex],0)),1,1,"")</f>
        <v>2</v>
      </c>
      <c r="R148" s="88" t="str">
        <f>REPLACE(INDEX(GroupVertices[Group],MATCH(Edges[[#This Row],[Vertex 2]],GroupVertices[Vertex],0)),1,1,"")</f>
        <v>8</v>
      </c>
      <c r="S148" s="34"/>
      <c r="T148" s="34"/>
      <c r="U148" s="34"/>
      <c r="V148" s="34"/>
      <c r="W148" s="34"/>
      <c r="X148" s="34"/>
      <c r="Y148" s="34"/>
      <c r="Z148" s="34"/>
      <c r="AA148" s="34"/>
    </row>
    <row r="149" spans="1:27" ht="15">
      <c r="A149" s="65" t="s">
        <v>221</v>
      </c>
      <c r="B149" s="65" t="s">
        <v>224</v>
      </c>
      <c r="C149" s="66" t="s">
        <v>2751</v>
      </c>
      <c r="D149" s="67">
        <v>3</v>
      </c>
      <c r="E149" s="68"/>
      <c r="F149" s="69">
        <v>50</v>
      </c>
      <c r="G149" s="66"/>
      <c r="H149" s="70"/>
      <c r="I149" s="71"/>
      <c r="J149" s="71"/>
      <c r="K149" s="34" t="s">
        <v>65</v>
      </c>
      <c r="L149" s="78">
        <v>149</v>
      </c>
      <c r="M149" s="78"/>
      <c r="N149" s="73"/>
      <c r="O149" s="89" t="s">
        <v>494</v>
      </c>
      <c r="P149">
        <v>1</v>
      </c>
      <c r="Q149" s="88" t="str">
        <f>REPLACE(INDEX(GroupVertices[Group],MATCH(Edges[[#This Row],[Vertex 1]],GroupVertices[Vertex],0)),1,1,"")</f>
        <v>2</v>
      </c>
      <c r="R149" s="88" t="str">
        <f>REPLACE(INDEX(GroupVertices[Group],MATCH(Edges[[#This Row],[Vertex 2]],GroupVertices[Vertex],0)),1,1,"")</f>
        <v>2</v>
      </c>
      <c r="S149" s="34"/>
      <c r="T149" s="34"/>
      <c r="U149" s="34"/>
      <c r="V149" s="34"/>
      <c r="W149" s="34"/>
      <c r="X149" s="34"/>
      <c r="Y149" s="34"/>
      <c r="Z149" s="34"/>
      <c r="AA149" s="34"/>
    </row>
    <row r="150" spans="1:27" ht="15">
      <c r="A150" s="65" t="s">
        <v>221</v>
      </c>
      <c r="B150" s="65" t="s">
        <v>321</v>
      </c>
      <c r="C150" s="66" t="s">
        <v>2751</v>
      </c>
      <c r="D150" s="67">
        <v>3</v>
      </c>
      <c r="E150" s="68"/>
      <c r="F150" s="69">
        <v>50</v>
      </c>
      <c r="G150" s="66"/>
      <c r="H150" s="70"/>
      <c r="I150" s="71"/>
      <c r="J150" s="71"/>
      <c r="K150" s="34" t="s">
        <v>65</v>
      </c>
      <c r="L150" s="78">
        <v>150</v>
      </c>
      <c r="M150" s="78"/>
      <c r="N150" s="73"/>
      <c r="O150" s="89" t="s">
        <v>494</v>
      </c>
      <c r="P150">
        <v>1</v>
      </c>
      <c r="Q150" s="88" t="str">
        <f>REPLACE(INDEX(GroupVertices[Group],MATCH(Edges[[#This Row],[Vertex 1]],GroupVertices[Vertex],0)),1,1,"")</f>
        <v>2</v>
      </c>
      <c r="R150" s="88" t="str">
        <f>REPLACE(INDEX(GroupVertices[Group],MATCH(Edges[[#This Row],[Vertex 2]],GroupVertices[Vertex],0)),1,1,"")</f>
        <v>2</v>
      </c>
      <c r="S150" s="34"/>
      <c r="T150" s="34"/>
      <c r="U150" s="34"/>
      <c r="V150" s="34"/>
      <c r="W150" s="34"/>
      <c r="X150" s="34"/>
      <c r="Y150" s="34"/>
      <c r="Z150" s="34"/>
      <c r="AA150" s="34"/>
    </row>
    <row r="151" spans="1:27" ht="15">
      <c r="A151" s="65" t="s">
        <v>221</v>
      </c>
      <c r="B151" s="65" t="s">
        <v>336</v>
      </c>
      <c r="C151" s="66" t="s">
        <v>2751</v>
      </c>
      <c r="D151" s="67">
        <v>3</v>
      </c>
      <c r="E151" s="68"/>
      <c r="F151" s="69">
        <v>50</v>
      </c>
      <c r="G151" s="66"/>
      <c r="H151" s="70"/>
      <c r="I151" s="71"/>
      <c r="J151" s="71"/>
      <c r="K151" s="34" t="s">
        <v>65</v>
      </c>
      <c r="L151" s="78">
        <v>151</v>
      </c>
      <c r="M151" s="78"/>
      <c r="N151" s="73"/>
      <c r="O151" s="89" t="s">
        <v>494</v>
      </c>
      <c r="P151">
        <v>1</v>
      </c>
      <c r="Q151" s="88" t="str">
        <f>REPLACE(INDEX(GroupVertices[Group],MATCH(Edges[[#This Row],[Vertex 1]],GroupVertices[Vertex],0)),1,1,"")</f>
        <v>2</v>
      </c>
      <c r="R151" s="88" t="str">
        <f>REPLACE(INDEX(GroupVertices[Group],MATCH(Edges[[#This Row],[Vertex 2]],GroupVertices[Vertex],0)),1,1,"")</f>
        <v>2</v>
      </c>
      <c r="S151" s="34"/>
      <c r="T151" s="34"/>
      <c r="U151" s="34"/>
      <c r="V151" s="34"/>
      <c r="W151" s="34"/>
      <c r="X151" s="34"/>
      <c r="Y151" s="34"/>
      <c r="Z151" s="34"/>
      <c r="AA151" s="34"/>
    </row>
    <row r="152" spans="1:27" ht="15">
      <c r="A152" s="65" t="s">
        <v>221</v>
      </c>
      <c r="B152" s="65" t="s">
        <v>222</v>
      </c>
      <c r="C152" s="66" t="s">
        <v>2751</v>
      </c>
      <c r="D152" s="67">
        <v>3</v>
      </c>
      <c r="E152" s="68"/>
      <c r="F152" s="69">
        <v>50</v>
      </c>
      <c r="G152" s="66"/>
      <c r="H152" s="70"/>
      <c r="I152" s="71"/>
      <c r="J152" s="71"/>
      <c r="K152" s="34" t="s">
        <v>65</v>
      </c>
      <c r="L152" s="78">
        <v>152</v>
      </c>
      <c r="M152" s="78"/>
      <c r="N152" s="73"/>
      <c r="O152" s="89" t="s">
        <v>494</v>
      </c>
      <c r="P152">
        <v>1</v>
      </c>
      <c r="Q152" s="88" t="str">
        <f>REPLACE(INDEX(GroupVertices[Group],MATCH(Edges[[#This Row],[Vertex 1]],GroupVertices[Vertex],0)),1,1,"")</f>
        <v>2</v>
      </c>
      <c r="R152" s="88" t="str">
        <f>REPLACE(INDEX(GroupVertices[Group],MATCH(Edges[[#This Row],[Vertex 2]],GroupVertices[Vertex],0)),1,1,"")</f>
        <v>2</v>
      </c>
      <c r="S152" s="34"/>
      <c r="T152" s="34"/>
      <c r="U152" s="34"/>
      <c r="V152" s="34"/>
      <c r="W152" s="34"/>
      <c r="X152" s="34"/>
      <c r="Y152" s="34"/>
      <c r="Z152" s="34"/>
      <c r="AA152" s="34"/>
    </row>
    <row r="153" spans="1:27" ht="15">
      <c r="A153" s="65" t="s">
        <v>221</v>
      </c>
      <c r="B153" s="65" t="s">
        <v>309</v>
      </c>
      <c r="C153" s="66" t="s">
        <v>2751</v>
      </c>
      <c r="D153" s="67">
        <v>3</v>
      </c>
      <c r="E153" s="68"/>
      <c r="F153" s="69">
        <v>50</v>
      </c>
      <c r="G153" s="66"/>
      <c r="H153" s="70"/>
      <c r="I153" s="71"/>
      <c r="J153" s="71"/>
      <c r="K153" s="34" t="s">
        <v>65</v>
      </c>
      <c r="L153" s="78">
        <v>153</v>
      </c>
      <c r="M153" s="78"/>
      <c r="N153" s="73"/>
      <c r="O153" s="89" t="s">
        <v>494</v>
      </c>
      <c r="P153">
        <v>1</v>
      </c>
      <c r="Q153" s="88" t="str">
        <f>REPLACE(INDEX(GroupVertices[Group],MATCH(Edges[[#This Row],[Vertex 1]],GroupVertices[Vertex],0)),1,1,"")</f>
        <v>2</v>
      </c>
      <c r="R153" s="88" t="str">
        <f>REPLACE(INDEX(GroupVertices[Group],MATCH(Edges[[#This Row],[Vertex 2]],GroupVertices[Vertex],0)),1,1,"")</f>
        <v>1</v>
      </c>
      <c r="S153" s="34"/>
      <c r="T153" s="34"/>
      <c r="U153" s="34"/>
      <c r="V153" s="34"/>
      <c r="W153" s="34"/>
      <c r="X153" s="34"/>
      <c r="Y153" s="34"/>
      <c r="Z153" s="34"/>
      <c r="AA153" s="34"/>
    </row>
    <row r="154" spans="1:27" ht="15">
      <c r="A154" s="65" t="s">
        <v>221</v>
      </c>
      <c r="B154" s="65" t="s">
        <v>337</v>
      </c>
      <c r="C154" s="66" t="s">
        <v>2751</v>
      </c>
      <c r="D154" s="67">
        <v>3</v>
      </c>
      <c r="E154" s="68"/>
      <c r="F154" s="69">
        <v>50</v>
      </c>
      <c r="G154" s="66"/>
      <c r="H154" s="70"/>
      <c r="I154" s="71"/>
      <c r="J154" s="71"/>
      <c r="K154" s="34" t="s">
        <v>65</v>
      </c>
      <c r="L154" s="78">
        <v>154</v>
      </c>
      <c r="M154" s="78"/>
      <c r="N154" s="73"/>
      <c r="O154" s="89" t="s">
        <v>494</v>
      </c>
      <c r="P154">
        <v>1</v>
      </c>
      <c r="Q154" s="88" t="str">
        <f>REPLACE(INDEX(GroupVertices[Group],MATCH(Edges[[#This Row],[Vertex 1]],GroupVertices[Vertex],0)),1,1,"")</f>
        <v>2</v>
      </c>
      <c r="R154" s="88" t="str">
        <f>REPLACE(INDEX(GroupVertices[Group],MATCH(Edges[[#This Row],[Vertex 2]],GroupVertices[Vertex],0)),1,1,"")</f>
        <v>2</v>
      </c>
      <c r="S154" s="34"/>
      <c r="T154" s="34"/>
      <c r="U154" s="34"/>
      <c r="V154" s="34"/>
      <c r="W154" s="34"/>
      <c r="X154" s="34"/>
      <c r="Y154" s="34"/>
      <c r="Z154" s="34"/>
      <c r="AA154" s="34"/>
    </row>
    <row r="155" spans="1:27" ht="15">
      <c r="A155" s="65" t="s">
        <v>221</v>
      </c>
      <c r="B155" s="65" t="s">
        <v>310</v>
      </c>
      <c r="C155" s="66" t="s">
        <v>2751</v>
      </c>
      <c r="D155" s="67">
        <v>3</v>
      </c>
      <c r="E155" s="68"/>
      <c r="F155" s="69">
        <v>50</v>
      </c>
      <c r="G155" s="66"/>
      <c r="H155" s="70"/>
      <c r="I155" s="71"/>
      <c r="J155" s="71"/>
      <c r="K155" s="34" t="s">
        <v>65</v>
      </c>
      <c r="L155" s="78">
        <v>155</v>
      </c>
      <c r="M155" s="78"/>
      <c r="N155" s="73"/>
      <c r="O155" s="89" t="s">
        <v>494</v>
      </c>
      <c r="P155">
        <v>1</v>
      </c>
      <c r="Q155" s="88" t="str">
        <f>REPLACE(INDEX(GroupVertices[Group],MATCH(Edges[[#This Row],[Vertex 1]],GroupVertices[Vertex],0)),1,1,"")</f>
        <v>2</v>
      </c>
      <c r="R155" s="88" t="str">
        <f>REPLACE(INDEX(GroupVertices[Group],MATCH(Edges[[#This Row],[Vertex 2]],GroupVertices[Vertex],0)),1,1,"")</f>
        <v>2</v>
      </c>
      <c r="S155" s="34"/>
      <c r="T155" s="34"/>
      <c r="U155" s="34"/>
      <c r="V155" s="34"/>
      <c r="W155" s="34"/>
      <c r="X155" s="34"/>
      <c r="Y155" s="34"/>
      <c r="Z155" s="34"/>
      <c r="AA155" s="34"/>
    </row>
    <row r="156" spans="1:27" ht="15">
      <c r="A156" s="65" t="s">
        <v>221</v>
      </c>
      <c r="B156" s="65" t="s">
        <v>262</v>
      </c>
      <c r="C156" s="66" t="s">
        <v>2751</v>
      </c>
      <c r="D156" s="67">
        <v>3</v>
      </c>
      <c r="E156" s="68"/>
      <c r="F156" s="69">
        <v>50</v>
      </c>
      <c r="G156" s="66"/>
      <c r="H156" s="70"/>
      <c r="I156" s="71"/>
      <c r="J156" s="71"/>
      <c r="K156" s="34" t="s">
        <v>65</v>
      </c>
      <c r="L156" s="78">
        <v>156</v>
      </c>
      <c r="M156" s="78"/>
      <c r="N156" s="73"/>
      <c r="O156" s="89" t="s">
        <v>494</v>
      </c>
      <c r="P156">
        <v>1</v>
      </c>
      <c r="Q156" s="88" t="str">
        <f>REPLACE(INDEX(GroupVertices[Group],MATCH(Edges[[#This Row],[Vertex 1]],GroupVertices[Vertex],0)),1,1,"")</f>
        <v>2</v>
      </c>
      <c r="R156" s="88" t="str">
        <f>REPLACE(INDEX(GroupVertices[Group],MATCH(Edges[[#This Row],[Vertex 2]],GroupVertices[Vertex],0)),1,1,"")</f>
        <v>2</v>
      </c>
      <c r="S156" s="34"/>
      <c r="T156" s="34"/>
      <c r="U156" s="34"/>
      <c r="V156" s="34"/>
      <c r="W156" s="34"/>
      <c r="X156" s="34"/>
      <c r="Y156" s="34"/>
      <c r="Z156" s="34"/>
      <c r="AA156" s="34"/>
    </row>
    <row r="157" spans="1:27" ht="15">
      <c r="A157" s="65" t="s">
        <v>221</v>
      </c>
      <c r="B157" s="65" t="s">
        <v>338</v>
      </c>
      <c r="C157" s="66" t="s">
        <v>2751</v>
      </c>
      <c r="D157" s="67">
        <v>3</v>
      </c>
      <c r="E157" s="68"/>
      <c r="F157" s="69">
        <v>50</v>
      </c>
      <c r="G157" s="66"/>
      <c r="H157" s="70"/>
      <c r="I157" s="71"/>
      <c r="J157" s="71"/>
      <c r="K157" s="34" t="s">
        <v>65</v>
      </c>
      <c r="L157" s="78">
        <v>157</v>
      </c>
      <c r="M157" s="78"/>
      <c r="N157" s="73"/>
      <c r="O157" s="89" t="s">
        <v>494</v>
      </c>
      <c r="P157">
        <v>1</v>
      </c>
      <c r="Q157" s="88" t="str">
        <f>REPLACE(INDEX(GroupVertices[Group],MATCH(Edges[[#This Row],[Vertex 1]],GroupVertices[Vertex],0)),1,1,"")</f>
        <v>2</v>
      </c>
      <c r="R157" s="88" t="str">
        <f>REPLACE(INDEX(GroupVertices[Group],MATCH(Edges[[#This Row],[Vertex 2]],GroupVertices[Vertex],0)),1,1,"")</f>
        <v>2</v>
      </c>
      <c r="S157" s="34"/>
      <c r="T157" s="34"/>
      <c r="U157" s="34"/>
      <c r="V157" s="34"/>
      <c r="W157" s="34"/>
      <c r="X157" s="34"/>
      <c r="Y157" s="34"/>
      <c r="Z157" s="34"/>
      <c r="AA157" s="34"/>
    </row>
    <row r="158" spans="1:27" ht="15">
      <c r="A158" s="65" t="s">
        <v>221</v>
      </c>
      <c r="B158" s="65" t="s">
        <v>322</v>
      </c>
      <c r="C158" s="66" t="s">
        <v>2751</v>
      </c>
      <c r="D158" s="67">
        <v>3</v>
      </c>
      <c r="E158" s="68"/>
      <c r="F158" s="69">
        <v>50</v>
      </c>
      <c r="G158" s="66"/>
      <c r="H158" s="70"/>
      <c r="I158" s="71"/>
      <c r="J158" s="71"/>
      <c r="K158" s="34" t="s">
        <v>65</v>
      </c>
      <c r="L158" s="78">
        <v>158</v>
      </c>
      <c r="M158" s="78"/>
      <c r="N158" s="73"/>
      <c r="O158" s="89" t="s">
        <v>494</v>
      </c>
      <c r="P158">
        <v>1</v>
      </c>
      <c r="Q158" s="88" t="str">
        <f>REPLACE(INDEX(GroupVertices[Group],MATCH(Edges[[#This Row],[Vertex 1]],GroupVertices[Vertex],0)),1,1,"")</f>
        <v>2</v>
      </c>
      <c r="R158" s="88" t="str">
        <f>REPLACE(INDEX(GroupVertices[Group],MATCH(Edges[[#This Row],[Vertex 2]],GroupVertices[Vertex],0)),1,1,"")</f>
        <v>2</v>
      </c>
      <c r="S158" s="34"/>
      <c r="T158" s="34"/>
      <c r="U158" s="34"/>
      <c r="V158" s="34"/>
      <c r="W158" s="34"/>
      <c r="X158" s="34"/>
      <c r="Y158" s="34"/>
      <c r="Z158" s="34"/>
      <c r="AA158" s="34"/>
    </row>
    <row r="159" spans="1:27" ht="15">
      <c r="A159" s="65" t="s">
        <v>221</v>
      </c>
      <c r="B159" s="65" t="s">
        <v>320</v>
      </c>
      <c r="C159" s="66" t="s">
        <v>2751</v>
      </c>
      <c r="D159" s="67">
        <v>3</v>
      </c>
      <c r="E159" s="68"/>
      <c r="F159" s="69">
        <v>50</v>
      </c>
      <c r="G159" s="66"/>
      <c r="H159" s="70"/>
      <c r="I159" s="71"/>
      <c r="J159" s="71"/>
      <c r="K159" s="34" t="s">
        <v>65</v>
      </c>
      <c r="L159" s="78">
        <v>159</v>
      </c>
      <c r="M159" s="78"/>
      <c r="N159" s="73"/>
      <c r="O159" s="89" t="s">
        <v>494</v>
      </c>
      <c r="P159">
        <v>1</v>
      </c>
      <c r="Q159" s="88" t="str">
        <f>REPLACE(INDEX(GroupVertices[Group],MATCH(Edges[[#This Row],[Vertex 1]],GroupVertices[Vertex],0)),1,1,"")</f>
        <v>2</v>
      </c>
      <c r="R159" s="88" t="str">
        <f>REPLACE(INDEX(GroupVertices[Group],MATCH(Edges[[#This Row],[Vertex 2]],GroupVertices[Vertex],0)),1,1,"")</f>
        <v>2</v>
      </c>
      <c r="S159" s="34"/>
      <c r="T159" s="34"/>
      <c r="U159" s="34"/>
      <c r="V159" s="34"/>
      <c r="W159" s="34"/>
      <c r="X159" s="34"/>
      <c r="Y159" s="34"/>
      <c r="Z159" s="34"/>
      <c r="AA159" s="34"/>
    </row>
    <row r="160" spans="1:27" ht="15">
      <c r="A160" s="65" t="s">
        <v>221</v>
      </c>
      <c r="B160" s="65" t="s">
        <v>319</v>
      </c>
      <c r="C160" s="66" t="s">
        <v>2751</v>
      </c>
      <c r="D160" s="67">
        <v>3</v>
      </c>
      <c r="E160" s="68"/>
      <c r="F160" s="69">
        <v>50</v>
      </c>
      <c r="G160" s="66"/>
      <c r="H160" s="70"/>
      <c r="I160" s="71"/>
      <c r="J160" s="71"/>
      <c r="K160" s="34" t="s">
        <v>65</v>
      </c>
      <c r="L160" s="78">
        <v>160</v>
      </c>
      <c r="M160" s="78"/>
      <c r="N160" s="73"/>
      <c r="O160" s="89" t="s">
        <v>494</v>
      </c>
      <c r="P160">
        <v>1</v>
      </c>
      <c r="Q160" s="88" t="str">
        <f>REPLACE(INDEX(GroupVertices[Group],MATCH(Edges[[#This Row],[Vertex 1]],GroupVertices[Vertex],0)),1,1,"")</f>
        <v>2</v>
      </c>
      <c r="R160" s="88" t="str">
        <f>REPLACE(INDEX(GroupVertices[Group],MATCH(Edges[[#This Row],[Vertex 2]],GroupVertices[Vertex],0)),1,1,"")</f>
        <v>2</v>
      </c>
      <c r="S160" s="34"/>
      <c r="T160" s="34"/>
      <c r="U160" s="34"/>
      <c r="V160" s="34"/>
      <c r="W160" s="34"/>
      <c r="X160" s="34"/>
      <c r="Y160" s="34"/>
      <c r="Z160" s="34"/>
      <c r="AA160" s="34"/>
    </row>
    <row r="161" spans="1:27" ht="15">
      <c r="A161" s="65" t="s">
        <v>221</v>
      </c>
      <c r="B161" s="65" t="s">
        <v>339</v>
      </c>
      <c r="C161" s="66" t="s">
        <v>2751</v>
      </c>
      <c r="D161" s="67">
        <v>3</v>
      </c>
      <c r="E161" s="68"/>
      <c r="F161" s="69">
        <v>50</v>
      </c>
      <c r="G161" s="66"/>
      <c r="H161" s="70"/>
      <c r="I161" s="71"/>
      <c r="J161" s="71"/>
      <c r="K161" s="34" t="s">
        <v>65</v>
      </c>
      <c r="L161" s="78">
        <v>161</v>
      </c>
      <c r="M161" s="78"/>
      <c r="N161" s="73"/>
      <c r="O161" s="89" t="s">
        <v>494</v>
      </c>
      <c r="P161">
        <v>1</v>
      </c>
      <c r="Q161" s="88" t="str">
        <f>REPLACE(INDEX(GroupVertices[Group],MATCH(Edges[[#This Row],[Vertex 1]],GroupVertices[Vertex],0)),1,1,"")</f>
        <v>2</v>
      </c>
      <c r="R161" s="88" t="str">
        <f>REPLACE(INDEX(GroupVertices[Group],MATCH(Edges[[#This Row],[Vertex 2]],GroupVertices[Vertex],0)),1,1,"")</f>
        <v>2</v>
      </c>
      <c r="S161" s="34"/>
      <c r="T161" s="34"/>
      <c r="U161" s="34"/>
      <c r="V161" s="34"/>
      <c r="W161" s="34"/>
      <c r="X161" s="34"/>
      <c r="Y161" s="34"/>
      <c r="Z161" s="34"/>
      <c r="AA161" s="34"/>
    </row>
    <row r="162" spans="1:27" ht="15">
      <c r="A162" s="65" t="s">
        <v>221</v>
      </c>
      <c r="B162" s="65" t="s">
        <v>315</v>
      </c>
      <c r="C162" s="66" t="s">
        <v>2751</v>
      </c>
      <c r="D162" s="67">
        <v>3</v>
      </c>
      <c r="E162" s="68"/>
      <c r="F162" s="69">
        <v>50</v>
      </c>
      <c r="G162" s="66"/>
      <c r="H162" s="70"/>
      <c r="I162" s="71"/>
      <c r="J162" s="71"/>
      <c r="K162" s="34" t="s">
        <v>65</v>
      </c>
      <c r="L162" s="78">
        <v>162</v>
      </c>
      <c r="M162" s="78"/>
      <c r="N162" s="73"/>
      <c r="O162" s="89" t="s">
        <v>494</v>
      </c>
      <c r="P162">
        <v>1</v>
      </c>
      <c r="Q162" s="88" t="str">
        <f>REPLACE(INDEX(GroupVertices[Group],MATCH(Edges[[#This Row],[Vertex 1]],GroupVertices[Vertex],0)),1,1,"")</f>
        <v>2</v>
      </c>
      <c r="R162" s="88" t="str">
        <f>REPLACE(INDEX(GroupVertices[Group],MATCH(Edges[[#This Row],[Vertex 2]],GroupVertices[Vertex],0)),1,1,"")</f>
        <v>2</v>
      </c>
      <c r="S162" s="34"/>
      <c r="T162" s="34"/>
      <c r="U162" s="34"/>
      <c r="V162" s="34"/>
      <c r="W162" s="34"/>
      <c r="X162" s="34"/>
      <c r="Y162" s="34"/>
      <c r="Z162" s="34"/>
      <c r="AA162" s="34"/>
    </row>
    <row r="163" spans="1:27" ht="15">
      <c r="A163" s="65" t="s">
        <v>222</v>
      </c>
      <c r="B163" s="65" t="s">
        <v>340</v>
      </c>
      <c r="C163" s="66" t="s">
        <v>2751</v>
      </c>
      <c r="D163" s="67">
        <v>3</v>
      </c>
      <c r="E163" s="68"/>
      <c r="F163" s="69">
        <v>50</v>
      </c>
      <c r="G163" s="66"/>
      <c r="H163" s="70"/>
      <c r="I163" s="71"/>
      <c r="J163" s="71"/>
      <c r="K163" s="34" t="s">
        <v>65</v>
      </c>
      <c r="L163" s="78">
        <v>163</v>
      </c>
      <c r="M163" s="78"/>
      <c r="N163" s="73"/>
      <c r="O163" s="89" t="s">
        <v>494</v>
      </c>
      <c r="P163">
        <v>1</v>
      </c>
      <c r="Q163" s="88" t="str">
        <f>REPLACE(INDEX(GroupVertices[Group],MATCH(Edges[[#This Row],[Vertex 1]],GroupVertices[Vertex],0)),1,1,"")</f>
        <v>2</v>
      </c>
      <c r="R163" s="88" t="str">
        <f>REPLACE(INDEX(GroupVertices[Group],MATCH(Edges[[#This Row],[Vertex 2]],GroupVertices[Vertex],0)),1,1,"")</f>
        <v>2</v>
      </c>
      <c r="S163" s="34"/>
      <c r="T163" s="34"/>
      <c r="U163" s="34"/>
      <c r="V163" s="34"/>
      <c r="W163" s="34"/>
      <c r="X163" s="34"/>
      <c r="Y163" s="34"/>
      <c r="Z163" s="34"/>
      <c r="AA163" s="34"/>
    </row>
    <row r="164" spans="1:27" ht="15">
      <c r="A164" s="65" t="s">
        <v>222</v>
      </c>
      <c r="B164" s="65" t="s">
        <v>341</v>
      </c>
      <c r="C164" s="66" t="s">
        <v>2751</v>
      </c>
      <c r="D164" s="67">
        <v>3</v>
      </c>
      <c r="E164" s="68"/>
      <c r="F164" s="69">
        <v>50</v>
      </c>
      <c r="G164" s="66"/>
      <c r="H164" s="70"/>
      <c r="I164" s="71"/>
      <c r="J164" s="71"/>
      <c r="K164" s="34" t="s">
        <v>65</v>
      </c>
      <c r="L164" s="78">
        <v>164</v>
      </c>
      <c r="M164" s="78"/>
      <c r="N164" s="73"/>
      <c r="O164" s="89" t="s">
        <v>494</v>
      </c>
      <c r="P164">
        <v>1</v>
      </c>
      <c r="Q164" s="88" t="str">
        <f>REPLACE(INDEX(GroupVertices[Group],MATCH(Edges[[#This Row],[Vertex 1]],GroupVertices[Vertex],0)),1,1,"")</f>
        <v>2</v>
      </c>
      <c r="R164" s="88" t="str">
        <f>REPLACE(INDEX(GroupVertices[Group],MATCH(Edges[[#This Row],[Vertex 2]],GroupVertices[Vertex],0)),1,1,"")</f>
        <v>2</v>
      </c>
      <c r="S164" s="34"/>
      <c r="T164" s="34"/>
      <c r="U164" s="34"/>
      <c r="V164" s="34"/>
      <c r="W164" s="34"/>
      <c r="X164" s="34"/>
      <c r="Y164" s="34"/>
      <c r="Z164" s="34"/>
      <c r="AA164" s="34"/>
    </row>
    <row r="165" spans="1:27" ht="15">
      <c r="A165" s="65" t="s">
        <v>222</v>
      </c>
      <c r="B165" s="65" t="s">
        <v>264</v>
      </c>
      <c r="C165" s="66" t="s">
        <v>2751</v>
      </c>
      <c r="D165" s="67">
        <v>3</v>
      </c>
      <c r="E165" s="68"/>
      <c r="F165" s="69">
        <v>50</v>
      </c>
      <c r="G165" s="66"/>
      <c r="H165" s="70"/>
      <c r="I165" s="71"/>
      <c r="J165" s="71"/>
      <c r="K165" s="34" t="s">
        <v>65</v>
      </c>
      <c r="L165" s="78">
        <v>165</v>
      </c>
      <c r="M165" s="78"/>
      <c r="N165" s="73"/>
      <c r="O165" s="89" t="s">
        <v>494</v>
      </c>
      <c r="P165">
        <v>1</v>
      </c>
      <c r="Q165" s="88" t="str">
        <f>REPLACE(INDEX(GroupVertices[Group],MATCH(Edges[[#This Row],[Vertex 1]],GroupVertices[Vertex],0)),1,1,"")</f>
        <v>2</v>
      </c>
      <c r="R165" s="88" t="str">
        <f>REPLACE(INDEX(GroupVertices[Group],MATCH(Edges[[#This Row],[Vertex 2]],GroupVertices[Vertex],0)),1,1,"")</f>
        <v>5</v>
      </c>
      <c r="S165" s="34"/>
      <c r="T165" s="34"/>
      <c r="U165" s="34"/>
      <c r="V165" s="34"/>
      <c r="W165" s="34"/>
      <c r="X165" s="34"/>
      <c r="Y165" s="34"/>
      <c r="Z165" s="34"/>
      <c r="AA165" s="34"/>
    </row>
    <row r="166" spans="1:27" ht="15">
      <c r="A166" s="65" t="s">
        <v>222</v>
      </c>
      <c r="B166" s="65" t="s">
        <v>342</v>
      </c>
      <c r="C166" s="66" t="s">
        <v>2751</v>
      </c>
      <c r="D166" s="67">
        <v>3</v>
      </c>
      <c r="E166" s="68"/>
      <c r="F166" s="69">
        <v>50</v>
      </c>
      <c r="G166" s="66"/>
      <c r="H166" s="70"/>
      <c r="I166" s="71"/>
      <c r="J166" s="71"/>
      <c r="K166" s="34" t="s">
        <v>65</v>
      </c>
      <c r="L166" s="78">
        <v>166</v>
      </c>
      <c r="M166" s="78"/>
      <c r="N166" s="73"/>
      <c r="O166" s="89" t="s">
        <v>494</v>
      </c>
      <c r="P166">
        <v>1</v>
      </c>
      <c r="Q166" s="88" t="str">
        <f>REPLACE(INDEX(GroupVertices[Group],MATCH(Edges[[#This Row],[Vertex 1]],GroupVertices[Vertex],0)),1,1,"")</f>
        <v>2</v>
      </c>
      <c r="R166" s="88" t="str">
        <f>REPLACE(INDEX(GroupVertices[Group],MATCH(Edges[[#This Row],[Vertex 2]],GroupVertices[Vertex],0)),1,1,"")</f>
        <v>2</v>
      </c>
      <c r="S166" s="34"/>
      <c r="T166" s="34"/>
      <c r="U166" s="34"/>
      <c r="V166" s="34"/>
      <c r="W166" s="34"/>
      <c r="X166" s="34"/>
      <c r="Y166" s="34"/>
      <c r="Z166" s="34"/>
      <c r="AA166" s="34"/>
    </row>
    <row r="167" spans="1:27" ht="15">
      <c r="A167" s="65" t="s">
        <v>222</v>
      </c>
      <c r="B167" s="65" t="s">
        <v>339</v>
      </c>
      <c r="C167" s="66" t="s">
        <v>2751</v>
      </c>
      <c r="D167" s="67">
        <v>3</v>
      </c>
      <c r="E167" s="68"/>
      <c r="F167" s="69">
        <v>50</v>
      </c>
      <c r="G167" s="66"/>
      <c r="H167" s="70"/>
      <c r="I167" s="71"/>
      <c r="J167" s="71"/>
      <c r="K167" s="34" t="s">
        <v>65</v>
      </c>
      <c r="L167" s="78">
        <v>167</v>
      </c>
      <c r="M167" s="78"/>
      <c r="N167" s="73"/>
      <c r="O167" s="89" t="s">
        <v>494</v>
      </c>
      <c r="P167">
        <v>1</v>
      </c>
      <c r="Q167" s="88" t="str">
        <f>REPLACE(INDEX(GroupVertices[Group],MATCH(Edges[[#This Row],[Vertex 1]],GroupVertices[Vertex],0)),1,1,"")</f>
        <v>2</v>
      </c>
      <c r="R167" s="88" t="str">
        <f>REPLACE(INDEX(GroupVertices[Group],MATCH(Edges[[#This Row],[Vertex 2]],GroupVertices[Vertex],0)),1,1,"")</f>
        <v>2</v>
      </c>
      <c r="S167" s="34"/>
      <c r="T167" s="34"/>
      <c r="U167" s="34"/>
      <c r="V167" s="34"/>
      <c r="W167" s="34"/>
      <c r="X167" s="34"/>
      <c r="Y167" s="34"/>
      <c r="Z167" s="34"/>
      <c r="AA167" s="34"/>
    </row>
    <row r="168" spans="1:27" ht="15">
      <c r="A168" s="65" t="s">
        <v>222</v>
      </c>
      <c r="B168" s="65" t="s">
        <v>343</v>
      </c>
      <c r="C168" s="66" t="s">
        <v>2751</v>
      </c>
      <c r="D168" s="67">
        <v>3</v>
      </c>
      <c r="E168" s="68"/>
      <c r="F168" s="69">
        <v>50</v>
      </c>
      <c r="G168" s="66"/>
      <c r="H168" s="70"/>
      <c r="I168" s="71"/>
      <c r="J168" s="71"/>
      <c r="K168" s="34" t="s">
        <v>65</v>
      </c>
      <c r="L168" s="78">
        <v>168</v>
      </c>
      <c r="M168" s="78"/>
      <c r="N168" s="73"/>
      <c r="O168" s="89" t="s">
        <v>494</v>
      </c>
      <c r="P168">
        <v>1</v>
      </c>
      <c r="Q168" s="88" t="str">
        <f>REPLACE(INDEX(GroupVertices[Group],MATCH(Edges[[#This Row],[Vertex 1]],GroupVertices[Vertex],0)),1,1,"")</f>
        <v>2</v>
      </c>
      <c r="R168" s="88" t="str">
        <f>REPLACE(INDEX(GroupVertices[Group],MATCH(Edges[[#This Row],[Vertex 2]],GroupVertices[Vertex],0)),1,1,"")</f>
        <v>2</v>
      </c>
      <c r="S168" s="34"/>
      <c r="T168" s="34"/>
      <c r="U168" s="34"/>
      <c r="V168" s="34"/>
      <c r="W168" s="34"/>
      <c r="X168" s="34"/>
      <c r="Y168" s="34"/>
      <c r="Z168" s="34"/>
      <c r="AA168" s="34"/>
    </row>
    <row r="169" spans="1:27" ht="15">
      <c r="A169" s="65" t="s">
        <v>222</v>
      </c>
      <c r="B169" s="65" t="s">
        <v>321</v>
      </c>
      <c r="C169" s="66" t="s">
        <v>2751</v>
      </c>
      <c r="D169" s="67">
        <v>3</v>
      </c>
      <c r="E169" s="68"/>
      <c r="F169" s="69">
        <v>50</v>
      </c>
      <c r="G169" s="66"/>
      <c r="H169" s="70"/>
      <c r="I169" s="71"/>
      <c r="J169" s="71"/>
      <c r="K169" s="34" t="s">
        <v>65</v>
      </c>
      <c r="L169" s="78">
        <v>169</v>
      </c>
      <c r="M169" s="78"/>
      <c r="N169" s="73"/>
      <c r="O169" s="89" t="s">
        <v>494</v>
      </c>
      <c r="P169">
        <v>1</v>
      </c>
      <c r="Q169" s="88" t="str">
        <f>REPLACE(INDEX(GroupVertices[Group],MATCH(Edges[[#This Row],[Vertex 1]],GroupVertices[Vertex],0)),1,1,"")</f>
        <v>2</v>
      </c>
      <c r="R169" s="88" t="str">
        <f>REPLACE(INDEX(GroupVertices[Group],MATCH(Edges[[#This Row],[Vertex 2]],GroupVertices[Vertex],0)),1,1,"")</f>
        <v>2</v>
      </c>
      <c r="S169" s="34"/>
      <c r="T169" s="34"/>
      <c r="U169" s="34"/>
      <c r="V169" s="34"/>
      <c r="W169" s="34"/>
      <c r="X169" s="34"/>
      <c r="Y169" s="34"/>
      <c r="Z169" s="34"/>
      <c r="AA169" s="34"/>
    </row>
    <row r="170" spans="1:27" ht="15">
      <c r="A170" s="65" t="s">
        <v>222</v>
      </c>
      <c r="B170" s="65" t="s">
        <v>314</v>
      </c>
      <c r="C170" s="66" t="s">
        <v>2751</v>
      </c>
      <c r="D170" s="67">
        <v>3</v>
      </c>
      <c r="E170" s="68"/>
      <c r="F170" s="69">
        <v>50</v>
      </c>
      <c r="G170" s="66"/>
      <c r="H170" s="70"/>
      <c r="I170" s="71"/>
      <c r="J170" s="71"/>
      <c r="K170" s="34" t="s">
        <v>65</v>
      </c>
      <c r="L170" s="78">
        <v>170</v>
      </c>
      <c r="M170" s="78"/>
      <c r="N170" s="73"/>
      <c r="O170" s="89" t="s">
        <v>494</v>
      </c>
      <c r="P170">
        <v>1</v>
      </c>
      <c r="Q170" s="88" t="str">
        <f>REPLACE(INDEX(GroupVertices[Group],MATCH(Edges[[#This Row],[Vertex 1]],GroupVertices[Vertex],0)),1,1,"")</f>
        <v>2</v>
      </c>
      <c r="R170" s="88" t="str">
        <f>REPLACE(INDEX(GroupVertices[Group],MATCH(Edges[[#This Row],[Vertex 2]],GroupVertices[Vertex],0)),1,1,"")</f>
        <v>4</v>
      </c>
      <c r="S170" s="34"/>
      <c r="T170" s="34"/>
      <c r="U170" s="34"/>
      <c r="V170" s="34"/>
      <c r="W170" s="34"/>
      <c r="X170" s="34"/>
      <c r="Y170" s="34"/>
      <c r="Z170" s="34"/>
      <c r="AA170" s="34"/>
    </row>
    <row r="171" spans="1:27" ht="15">
      <c r="A171" s="65" t="s">
        <v>223</v>
      </c>
      <c r="B171" s="65" t="s">
        <v>344</v>
      </c>
      <c r="C171" s="66" t="s">
        <v>2751</v>
      </c>
      <c r="D171" s="67">
        <v>3</v>
      </c>
      <c r="E171" s="68"/>
      <c r="F171" s="69">
        <v>50</v>
      </c>
      <c r="G171" s="66"/>
      <c r="H171" s="70"/>
      <c r="I171" s="71"/>
      <c r="J171" s="71"/>
      <c r="K171" s="34" t="s">
        <v>65</v>
      </c>
      <c r="L171" s="78">
        <v>171</v>
      </c>
      <c r="M171" s="78"/>
      <c r="N171" s="73"/>
      <c r="O171" s="89" t="s">
        <v>494</v>
      </c>
      <c r="P171">
        <v>1</v>
      </c>
      <c r="Q171" s="88" t="str">
        <f>REPLACE(INDEX(GroupVertices[Group],MATCH(Edges[[#This Row],[Vertex 1]],GroupVertices[Vertex],0)),1,1,"")</f>
        <v>2</v>
      </c>
      <c r="R171" s="88" t="str">
        <f>REPLACE(INDEX(GroupVertices[Group],MATCH(Edges[[#This Row],[Vertex 2]],GroupVertices[Vertex],0)),1,1,"")</f>
        <v>2</v>
      </c>
      <c r="S171" s="34"/>
      <c r="T171" s="34"/>
      <c r="U171" s="34"/>
      <c r="V171" s="34"/>
      <c r="W171" s="34"/>
      <c r="X171" s="34"/>
      <c r="Y171" s="34"/>
      <c r="Z171" s="34"/>
      <c r="AA171" s="34"/>
    </row>
    <row r="172" spans="1:27" ht="15">
      <c r="A172" s="65" t="s">
        <v>223</v>
      </c>
      <c r="B172" s="65" t="s">
        <v>345</v>
      </c>
      <c r="C172" s="66" t="s">
        <v>2751</v>
      </c>
      <c r="D172" s="67">
        <v>3</v>
      </c>
      <c r="E172" s="68"/>
      <c r="F172" s="69">
        <v>50</v>
      </c>
      <c r="G172" s="66"/>
      <c r="H172" s="70"/>
      <c r="I172" s="71"/>
      <c r="J172" s="71"/>
      <c r="K172" s="34" t="s">
        <v>65</v>
      </c>
      <c r="L172" s="78">
        <v>172</v>
      </c>
      <c r="M172" s="78"/>
      <c r="N172" s="73"/>
      <c r="O172" s="89" t="s">
        <v>494</v>
      </c>
      <c r="P172">
        <v>1</v>
      </c>
      <c r="Q172" s="88" t="str">
        <f>REPLACE(INDEX(GroupVertices[Group],MATCH(Edges[[#This Row],[Vertex 1]],GroupVertices[Vertex],0)),1,1,"")</f>
        <v>2</v>
      </c>
      <c r="R172" s="88" t="str">
        <f>REPLACE(INDEX(GroupVertices[Group],MATCH(Edges[[#This Row],[Vertex 2]],GroupVertices[Vertex],0)),1,1,"")</f>
        <v>2</v>
      </c>
      <c r="S172" s="34"/>
      <c r="T172" s="34"/>
      <c r="U172" s="34"/>
      <c r="V172" s="34"/>
      <c r="W172" s="34"/>
      <c r="X172" s="34"/>
      <c r="Y172" s="34"/>
      <c r="Z172" s="34"/>
      <c r="AA172" s="34"/>
    </row>
    <row r="173" spans="1:27" ht="15">
      <c r="A173" s="65" t="s">
        <v>223</v>
      </c>
      <c r="B173" s="65" t="s">
        <v>346</v>
      </c>
      <c r="C173" s="66" t="s">
        <v>2751</v>
      </c>
      <c r="D173" s="67">
        <v>3</v>
      </c>
      <c r="E173" s="68"/>
      <c r="F173" s="69">
        <v>50</v>
      </c>
      <c r="G173" s="66"/>
      <c r="H173" s="70"/>
      <c r="I173" s="71"/>
      <c r="J173" s="71"/>
      <c r="K173" s="34" t="s">
        <v>65</v>
      </c>
      <c r="L173" s="78">
        <v>173</v>
      </c>
      <c r="M173" s="78"/>
      <c r="N173" s="73"/>
      <c r="O173" s="89" t="s">
        <v>494</v>
      </c>
      <c r="P173">
        <v>1</v>
      </c>
      <c r="Q173" s="88" t="str">
        <f>REPLACE(INDEX(GroupVertices[Group],MATCH(Edges[[#This Row],[Vertex 1]],GroupVertices[Vertex],0)),1,1,"")</f>
        <v>2</v>
      </c>
      <c r="R173" s="88" t="str">
        <f>REPLACE(INDEX(GroupVertices[Group],MATCH(Edges[[#This Row],[Vertex 2]],GroupVertices[Vertex],0)),1,1,"")</f>
        <v>2</v>
      </c>
      <c r="S173" s="34"/>
      <c r="T173" s="34"/>
      <c r="U173" s="34"/>
      <c r="V173" s="34"/>
      <c r="W173" s="34"/>
      <c r="X173" s="34"/>
      <c r="Y173" s="34"/>
      <c r="Z173" s="34"/>
      <c r="AA173" s="34"/>
    </row>
    <row r="174" spans="1:27" ht="15">
      <c r="A174" s="65" t="s">
        <v>222</v>
      </c>
      <c r="B174" s="65" t="s">
        <v>338</v>
      </c>
      <c r="C174" s="66" t="s">
        <v>2751</v>
      </c>
      <c r="D174" s="67">
        <v>3</v>
      </c>
      <c r="E174" s="68"/>
      <c r="F174" s="69">
        <v>50</v>
      </c>
      <c r="G174" s="66"/>
      <c r="H174" s="70"/>
      <c r="I174" s="71"/>
      <c r="J174" s="71"/>
      <c r="K174" s="34" t="s">
        <v>65</v>
      </c>
      <c r="L174" s="78">
        <v>174</v>
      </c>
      <c r="M174" s="78"/>
      <c r="N174" s="73"/>
      <c r="O174" s="89" t="s">
        <v>494</v>
      </c>
      <c r="P174">
        <v>1</v>
      </c>
      <c r="Q174" s="88" t="str">
        <f>REPLACE(INDEX(GroupVertices[Group],MATCH(Edges[[#This Row],[Vertex 1]],GroupVertices[Vertex],0)),1,1,"")</f>
        <v>2</v>
      </c>
      <c r="R174" s="88" t="str">
        <f>REPLACE(INDEX(GroupVertices[Group],MATCH(Edges[[#This Row],[Vertex 2]],GroupVertices[Vertex],0)),1,1,"")</f>
        <v>2</v>
      </c>
      <c r="S174" s="34"/>
      <c r="T174" s="34"/>
      <c r="U174" s="34"/>
      <c r="V174" s="34"/>
      <c r="W174" s="34"/>
      <c r="X174" s="34"/>
      <c r="Y174" s="34"/>
      <c r="Z174" s="34"/>
      <c r="AA174" s="34"/>
    </row>
    <row r="175" spans="1:27" ht="15">
      <c r="A175" s="65" t="s">
        <v>223</v>
      </c>
      <c r="B175" s="65" t="s">
        <v>338</v>
      </c>
      <c r="C175" s="66" t="s">
        <v>2751</v>
      </c>
      <c r="D175" s="67">
        <v>3</v>
      </c>
      <c r="E175" s="68"/>
      <c r="F175" s="69">
        <v>50</v>
      </c>
      <c r="G175" s="66"/>
      <c r="H175" s="70"/>
      <c r="I175" s="71"/>
      <c r="J175" s="71"/>
      <c r="K175" s="34" t="s">
        <v>65</v>
      </c>
      <c r="L175" s="78">
        <v>175</v>
      </c>
      <c r="M175" s="78"/>
      <c r="N175" s="73"/>
      <c r="O175" s="89" t="s">
        <v>494</v>
      </c>
      <c r="P175">
        <v>1</v>
      </c>
      <c r="Q175" s="88" t="str">
        <f>REPLACE(INDEX(GroupVertices[Group],MATCH(Edges[[#This Row],[Vertex 1]],GroupVertices[Vertex],0)),1,1,"")</f>
        <v>2</v>
      </c>
      <c r="R175" s="88" t="str">
        <f>REPLACE(INDEX(GroupVertices[Group],MATCH(Edges[[#This Row],[Vertex 2]],GroupVertices[Vertex],0)),1,1,"")</f>
        <v>2</v>
      </c>
      <c r="S175" s="34"/>
      <c r="T175" s="34"/>
      <c r="U175" s="34"/>
      <c r="V175" s="34"/>
      <c r="W175" s="34"/>
      <c r="X175" s="34"/>
      <c r="Y175" s="34"/>
      <c r="Z175" s="34"/>
      <c r="AA175" s="34"/>
    </row>
    <row r="176" spans="1:27" ht="15">
      <c r="A176" s="65" t="s">
        <v>222</v>
      </c>
      <c r="B176" s="65" t="s">
        <v>320</v>
      </c>
      <c r="C176" s="66" t="s">
        <v>2751</v>
      </c>
      <c r="D176" s="67">
        <v>3</v>
      </c>
      <c r="E176" s="68"/>
      <c r="F176" s="69">
        <v>50</v>
      </c>
      <c r="G176" s="66"/>
      <c r="H176" s="70"/>
      <c r="I176" s="71"/>
      <c r="J176" s="71"/>
      <c r="K176" s="34" t="s">
        <v>65</v>
      </c>
      <c r="L176" s="78">
        <v>176</v>
      </c>
      <c r="M176" s="78"/>
      <c r="N176" s="73"/>
      <c r="O176" s="89" t="s">
        <v>494</v>
      </c>
      <c r="P176">
        <v>1</v>
      </c>
      <c r="Q176" s="88" t="str">
        <f>REPLACE(INDEX(GroupVertices[Group],MATCH(Edges[[#This Row],[Vertex 1]],GroupVertices[Vertex],0)),1,1,"")</f>
        <v>2</v>
      </c>
      <c r="R176" s="88" t="str">
        <f>REPLACE(INDEX(GroupVertices[Group],MATCH(Edges[[#This Row],[Vertex 2]],GroupVertices[Vertex],0)),1,1,"")</f>
        <v>2</v>
      </c>
      <c r="S176" s="34"/>
      <c r="T176" s="34"/>
      <c r="U176" s="34"/>
      <c r="V176" s="34"/>
      <c r="W176" s="34"/>
      <c r="X176" s="34"/>
      <c r="Y176" s="34"/>
      <c r="Z176" s="34"/>
      <c r="AA176" s="34"/>
    </row>
    <row r="177" spans="1:27" ht="15">
      <c r="A177" s="65" t="s">
        <v>223</v>
      </c>
      <c r="B177" s="65" t="s">
        <v>320</v>
      </c>
      <c r="C177" s="66" t="s">
        <v>2751</v>
      </c>
      <c r="D177" s="67">
        <v>3</v>
      </c>
      <c r="E177" s="68"/>
      <c r="F177" s="69">
        <v>50</v>
      </c>
      <c r="G177" s="66"/>
      <c r="H177" s="70"/>
      <c r="I177" s="71"/>
      <c r="J177" s="71"/>
      <c r="K177" s="34" t="s">
        <v>65</v>
      </c>
      <c r="L177" s="78">
        <v>177</v>
      </c>
      <c r="M177" s="78"/>
      <c r="N177" s="73"/>
      <c r="O177" s="89" t="s">
        <v>494</v>
      </c>
      <c r="P177">
        <v>1</v>
      </c>
      <c r="Q177" s="88" t="str">
        <f>REPLACE(INDEX(GroupVertices[Group],MATCH(Edges[[#This Row],[Vertex 1]],GroupVertices[Vertex],0)),1,1,"")</f>
        <v>2</v>
      </c>
      <c r="R177" s="88" t="str">
        <f>REPLACE(INDEX(GroupVertices[Group],MATCH(Edges[[#This Row],[Vertex 2]],GroupVertices[Vertex],0)),1,1,"")</f>
        <v>2</v>
      </c>
      <c r="S177" s="34"/>
      <c r="T177" s="34"/>
      <c r="U177" s="34"/>
      <c r="V177" s="34"/>
      <c r="W177" s="34"/>
      <c r="X177" s="34"/>
      <c r="Y177" s="34"/>
      <c r="Z177" s="34"/>
      <c r="AA177" s="34"/>
    </row>
    <row r="178" spans="1:27" ht="15">
      <c r="A178" s="65" t="s">
        <v>223</v>
      </c>
      <c r="B178" s="65" t="s">
        <v>331</v>
      </c>
      <c r="C178" s="66" t="s">
        <v>2751</v>
      </c>
      <c r="D178" s="67">
        <v>3</v>
      </c>
      <c r="E178" s="68"/>
      <c r="F178" s="69">
        <v>50</v>
      </c>
      <c r="G178" s="66"/>
      <c r="H178" s="70"/>
      <c r="I178" s="71"/>
      <c r="J178" s="71"/>
      <c r="K178" s="34" t="s">
        <v>65</v>
      </c>
      <c r="L178" s="78">
        <v>178</v>
      </c>
      <c r="M178" s="78"/>
      <c r="N178" s="73"/>
      <c r="O178" s="89" t="s">
        <v>494</v>
      </c>
      <c r="P178">
        <v>1</v>
      </c>
      <c r="Q178" s="88" t="str">
        <f>REPLACE(INDEX(GroupVertices[Group],MATCH(Edges[[#This Row],[Vertex 1]],GroupVertices[Vertex],0)),1,1,"")</f>
        <v>2</v>
      </c>
      <c r="R178" s="88" t="str">
        <f>REPLACE(INDEX(GroupVertices[Group],MATCH(Edges[[#This Row],[Vertex 2]],GroupVertices[Vertex],0)),1,1,"")</f>
        <v>5</v>
      </c>
      <c r="S178" s="34"/>
      <c r="T178" s="34"/>
      <c r="U178" s="34"/>
      <c r="V178" s="34"/>
      <c r="W178" s="34"/>
      <c r="X178" s="34"/>
      <c r="Y178" s="34"/>
      <c r="Z178" s="34"/>
      <c r="AA178" s="34"/>
    </row>
    <row r="179" spans="1:27" ht="15">
      <c r="A179" s="65" t="s">
        <v>223</v>
      </c>
      <c r="B179" s="65" t="s">
        <v>347</v>
      </c>
      <c r="C179" s="66" t="s">
        <v>2751</v>
      </c>
      <c r="D179" s="67">
        <v>3</v>
      </c>
      <c r="E179" s="68"/>
      <c r="F179" s="69">
        <v>50</v>
      </c>
      <c r="G179" s="66"/>
      <c r="H179" s="70"/>
      <c r="I179" s="71"/>
      <c r="J179" s="71"/>
      <c r="K179" s="34" t="s">
        <v>65</v>
      </c>
      <c r="L179" s="78">
        <v>179</v>
      </c>
      <c r="M179" s="78"/>
      <c r="N179" s="73"/>
      <c r="O179" s="89" t="s">
        <v>494</v>
      </c>
      <c r="P179">
        <v>1</v>
      </c>
      <c r="Q179" s="88" t="str">
        <f>REPLACE(INDEX(GroupVertices[Group],MATCH(Edges[[#This Row],[Vertex 1]],GroupVertices[Vertex],0)),1,1,"")</f>
        <v>2</v>
      </c>
      <c r="R179" s="88" t="str">
        <f>REPLACE(INDEX(GroupVertices[Group],MATCH(Edges[[#This Row],[Vertex 2]],GroupVertices[Vertex],0)),1,1,"")</f>
        <v>2</v>
      </c>
      <c r="S179" s="34"/>
      <c r="T179" s="34"/>
      <c r="U179" s="34"/>
      <c r="V179" s="34"/>
      <c r="W179" s="34"/>
      <c r="X179" s="34"/>
      <c r="Y179" s="34"/>
      <c r="Z179" s="34"/>
      <c r="AA179" s="34"/>
    </row>
    <row r="180" spans="1:27" ht="15">
      <c r="A180" s="65" t="s">
        <v>223</v>
      </c>
      <c r="B180" s="65" t="s">
        <v>260</v>
      </c>
      <c r="C180" s="66" t="s">
        <v>2751</v>
      </c>
      <c r="D180" s="67">
        <v>3</v>
      </c>
      <c r="E180" s="68"/>
      <c r="F180" s="69">
        <v>50</v>
      </c>
      <c r="G180" s="66"/>
      <c r="H180" s="70"/>
      <c r="I180" s="71"/>
      <c r="J180" s="71"/>
      <c r="K180" s="34" t="s">
        <v>65</v>
      </c>
      <c r="L180" s="78">
        <v>180</v>
      </c>
      <c r="M180" s="78"/>
      <c r="N180" s="73"/>
      <c r="O180" s="89" t="s">
        <v>494</v>
      </c>
      <c r="P180">
        <v>1</v>
      </c>
      <c r="Q180" s="88" t="str">
        <f>REPLACE(INDEX(GroupVertices[Group],MATCH(Edges[[#This Row],[Vertex 1]],GroupVertices[Vertex],0)),1,1,"")</f>
        <v>2</v>
      </c>
      <c r="R180" s="88" t="str">
        <f>REPLACE(INDEX(GroupVertices[Group],MATCH(Edges[[#This Row],[Vertex 2]],GroupVertices[Vertex],0)),1,1,"")</f>
        <v>5</v>
      </c>
      <c r="S180" s="34"/>
      <c r="T180" s="34"/>
      <c r="U180" s="34"/>
      <c r="V180" s="34"/>
      <c r="W180" s="34"/>
      <c r="X180" s="34"/>
      <c r="Y180" s="34"/>
      <c r="Z180" s="34"/>
      <c r="AA180" s="34"/>
    </row>
    <row r="181" spans="1:27" ht="15">
      <c r="A181" s="65" t="s">
        <v>223</v>
      </c>
      <c r="B181" s="65" t="s">
        <v>348</v>
      </c>
      <c r="C181" s="66" t="s">
        <v>2751</v>
      </c>
      <c r="D181" s="67">
        <v>3</v>
      </c>
      <c r="E181" s="68"/>
      <c r="F181" s="69">
        <v>50</v>
      </c>
      <c r="G181" s="66"/>
      <c r="H181" s="70"/>
      <c r="I181" s="71"/>
      <c r="J181" s="71"/>
      <c r="K181" s="34" t="s">
        <v>65</v>
      </c>
      <c r="L181" s="78">
        <v>181</v>
      </c>
      <c r="M181" s="78"/>
      <c r="N181" s="73"/>
      <c r="O181" s="89" t="s">
        <v>494</v>
      </c>
      <c r="P181">
        <v>1</v>
      </c>
      <c r="Q181" s="88" t="str">
        <f>REPLACE(INDEX(GroupVertices[Group],MATCH(Edges[[#This Row],[Vertex 1]],GroupVertices[Vertex],0)),1,1,"")</f>
        <v>2</v>
      </c>
      <c r="R181" s="88" t="str">
        <f>REPLACE(INDEX(GroupVertices[Group],MATCH(Edges[[#This Row],[Vertex 2]],GroupVertices[Vertex],0)),1,1,"")</f>
        <v>2</v>
      </c>
      <c r="S181" s="34"/>
      <c r="T181" s="34"/>
      <c r="U181" s="34"/>
      <c r="V181" s="34"/>
      <c r="W181" s="34"/>
      <c r="X181" s="34"/>
      <c r="Y181" s="34"/>
      <c r="Z181" s="34"/>
      <c r="AA181" s="34"/>
    </row>
    <row r="182" spans="1:27" ht="15">
      <c r="A182" s="65" t="s">
        <v>223</v>
      </c>
      <c r="B182" s="65" t="s">
        <v>349</v>
      </c>
      <c r="C182" s="66" t="s">
        <v>2751</v>
      </c>
      <c r="D182" s="67">
        <v>3</v>
      </c>
      <c r="E182" s="68"/>
      <c r="F182" s="69">
        <v>50</v>
      </c>
      <c r="G182" s="66"/>
      <c r="H182" s="70"/>
      <c r="I182" s="71"/>
      <c r="J182" s="71"/>
      <c r="K182" s="34" t="s">
        <v>65</v>
      </c>
      <c r="L182" s="78">
        <v>182</v>
      </c>
      <c r="M182" s="78"/>
      <c r="N182" s="73"/>
      <c r="O182" s="89" t="s">
        <v>494</v>
      </c>
      <c r="P182">
        <v>1</v>
      </c>
      <c r="Q182" s="88" t="str">
        <f>REPLACE(INDEX(GroupVertices[Group],MATCH(Edges[[#This Row],[Vertex 1]],GroupVertices[Vertex],0)),1,1,"")</f>
        <v>2</v>
      </c>
      <c r="R182" s="88" t="str">
        <f>REPLACE(INDEX(GroupVertices[Group],MATCH(Edges[[#This Row],[Vertex 2]],GroupVertices[Vertex],0)),1,1,"")</f>
        <v>2</v>
      </c>
      <c r="S182" s="34"/>
      <c r="T182" s="34"/>
      <c r="U182" s="34"/>
      <c r="V182" s="34"/>
      <c r="W182" s="34"/>
      <c r="X182" s="34"/>
      <c r="Y182" s="34"/>
      <c r="Z182" s="34"/>
      <c r="AA182" s="34"/>
    </row>
    <row r="183" spans="1:27" ht="15">
      <c r="A183" s="65" t="s">
        <v>223</v>
      </c>
      <c r="B183" s="65" t="s">
        <v>350</v>
      </c>
      <c r="C183" s="66" t="s">
        <v>2751</v>
      </c>
      <c r="D183" s="67">
        <v>3</v>
      </c>
      <c r="E183" s="68"/>
      <c r="F183" s="69">
        <v>50</v>
      </c>
      <c r="G183" s="66"/>
      <c r="H183" s="70"/>
      <c r="I183" s="71"/>
      <c r="J183" s="71"/>
      <c r="K183" s="34" t="s">
        <v>65</v>
      </c>
      <c r="L183" s="78">
        <v>183</v>
      </c>
      <c r="M183" s="78"/>
      <c r="N183" s="73"/>
      <c r="O183" s="89" t="s">
        <v>494</v>
      </c>
      <c r="P183">
        <v>1</v>
      </c>
      <c r="Q183" s="88" t="str">
        <f>REPLACE(INDEX(GroupVertices[Group],MATCH(Edges[[#This Row],[Vertex 1]],GroupVertices[Vertex],0)),1,1,"")</f>
        <v>2</v>
      </c>
      <c r="R183" s="88" t="str">
        <f>REPLACE(INDEX(GroupVertices[Group],MATCH(Edges[[#This Row],[Vertex 2]],GroupVertices[Vertex],0)),1,1,"")</f>
        <v>2</v>
      </c>
      <c r="S183" s="34"/>
      <c r="T183" s="34"/>
      <c r="U183" s="34"/>
      <c r="V183" s="34"/>
      <c r="W183" s="34"/>
      <c r="X183" s="34"/>
      <c r="Y183" s="34"/>
      <c r="Z183" s="34"/>
      <c r="AA183" s="34"/>
    </row>
    <row r="184" spans="1:27" ht="15">
      <c r="A184" s="65" t="s">
        <v>223</v>
      </c>
      <c r="B184" s="65" t="s">
        <v>351</v>
      </c>
      <c r="C184" s="66" t="s">
        <v>2751</v>
      </c>
      <c r="D184" s="67">
        <v>3</v>
      </c>
      <c r="E184" s="68"/>
      <c r="F184" s="69">
        <v>50</v>
      </c>
      <c r="G184" s="66"/>
      <c r="H184" s="70"/>
      <c r="I184" s="71"/>
      <c r="J184" s="71"/>
      <c r="K184" s="34" t="s">
        <v>65</v>
      </c>
      <c r="L184" s="78">
        <v>184</v>
      </c>
      <c r="M184" s="78"/>
      <c r="N184" s="73"/>
      <c r="O184" s="89" t="s">
        <v>494</v>
      </c>
      <c r="P184">
        <v>1</v>
      </c>
      <c r="Q184" s="88" t="str">
        <f>REPLACE(INDEX(GroupVertices[Group],MATCH(Edges[[#This Row],[Vertex 1]],GroupVertices[Vertex],0)),1,1,"")</f>
        <v>2</v>
      </c>
      <c r="R184" s="88" t="str">
        <f>REPLACE(INDEX(GroupVertices[Group],MATCH(Edges[[#This Row],[Vertex 2]],GroupVertices[Vertex],0)),1,1,"")</f>
        <v>2</v>
      </c>
      <c r="S184" s="34"/>
      <c r="T184" s="34"/>
      <c r="U184" s="34"/>
      <c r="V184" s="34"/>
      <c r="W184" s="34"/>
      <c r="X184" s="34"/>
      <c r="Y184" s="34"/>
      <c r="Z184" s="34"/>
      <c r="AA184" s="34"/>
    </row>
    <row r="185" spans="1:27" ht="15">
      <c r="A185" s="65" t="s">
        <v>223</v>
      </c>
      <c r="B185" s="65" t="s">
        <v>259</v>
      </c>
      <c r="C185" s="66" t="s">
        <v>2751</v>
      </c>
      <c r="D185" s="67">
        <v>3</v>
      </c>
      <c r="E185" s="68"/>
      <c r="F185" s="69">
        <v>50</v>
      </c>
      <c r="G185" s="66"/>
      <c r="H185" s="70"/>
      <c r="I185" s="71"/>
      <c r="J185" s="71"/>
      <c r="K185" s="34" t="s">
        <v>65</v>
      </c>
      <c r="L185" s="78">
        <v>185</v>
      </c>
      <c r="M185" s="78"/>
      <c r="N185" s="73"/>
      <c r="O185" s="89" t="s">
        <v>494</v>
      </c>
      <c r="P185">
        <v>1</v>
      </c>
      <c r="Q185" s="88" t="str">
        <f>REPLACE(INDEX(GroupVertices[Group],MATCH(Edges[[#This Row],[Vertex 1]],GroupVertices[Vertex],0)),1,1,"")</f>
        <v>2</v>
      </c>
      <c r="R185" s="88" t="str">
        <f>REPLACE(INDEX(GroupVertices[Group],MATCH(Edges[[#This Row],[Vertex 2]],GroupVertices[Vertex],0)),1,1,"")</f>
        <v>2</v>
      </c>
      <c r="S185" s="34"/>
      <c r="T185" s="34"/>
      <c r="U185" s="34"/>
      <c r="V185" s="34"/>
      <c r="W185" s="34"/>
      <c r="X185" s="34"/>
      <c r="Y185" s="34"/>
      <c r="Z185" s="34"/>
      <c r="AA185" s="34"/>
    </row>
    <row r="186" spans="1:27" ht="15">
      <c r="A186" s="65" t="s">
        <v>223</v>
      </c>
      <c r="B186" s="65" t="s">
        <v>310</v>
      </c>
      <c r="C186" s="66" t="s">
        <v>2751</v>
      </c>
      <c r="D186" s="67">
        <v>3</v>
      </c>
      <c r="E186" s="68"/>
      <c r="F186" s="69">
        <v>50</v>
      </c>
      <c r="G186" s="66"/>
      <c r="H186" s="70"/>
      <c r="I186" s="71"/>
      <c r="J186" s="71"/>
      <c r="K186" s="34" t="s">
        <v>65</v>
      </c>
      <c r="L186" s="78">
        <v>186</v>
      </c>
      <c r="M186" s="78"/>
      <c r="N186" s="73"/>
      <c r="O186" s="89" t="s">
        <v>494</v>
      </c>
      <c r="P186">
        <v>1</v>
      </c>
      <c r="Q186" s="88" t="str">
        <f>REPLACE(INDEX(GroupVertices[Group],MATCH(Edges[[#This Row],[Vertex 1]],GroupVertices[Vertex],0)),1,1,"")</f>
        <v>2</v>
      </c>
      <c r="R186" s="88" t="str">
        <f>REPLACE(INDEX(GroupVertices[Group],MATCH(Edges[[#This Row],[Vertex 2]],GroupVertices[Vertex],0)),1,1,"")</f>
        <v>2</v>
      </c>
      <c r="S186" s="34"/>
      <c r="T186" s="34"/>
      <c r="U186" s="34"/>
      <c r="V186" s="34"/>
      <c r="W186" s="34"/>
      <c r="X186" s="34"/>
      <c r="Y186" s="34"/>
      <c r="Z186" s="34"/>
      <c r="AA186" s="34"/>
    </row>
    <row r="187" spans="1:27" ht="15">
      <c r="A187" s="65" t="s">
        <v>223</v>
      </c>
      <c r="B187" s="65" t="s">
        <v>224</v>
      </c>
      <c r="C187" s="66" t="s">
        <v>2751</v>
      </c>
      <c r="D187" s="67">
        <v>3</v>
      </c>
      <c r="E187" s="68"/>
      <c r="F187" s="69">
        <v>50</v>
      </c>
      <c r="G187" s="66"/>
      <c r="H187" s="70"/>
      <c r="I187" s="71"/>
      <c r="J187" s="71"/>
      <c r="K187" s="34" t="s">
        <v>65</v>
      </c>
      <c r="L187" s="78">
        <v>187</v>
      </c>
      <c r="M187" s="78"/>
      <c r="N187" s="73"/>
      <c r="O187" s="89" t="s">
        <v>494</v>
      </c>
      <c r="P187">
        <v>1</v>
      </c>
      <c r="Q187" s="88" t="str">
        <f>REPLACE(INDEX(GroupVertices[Group],MATCH(Edges[[#This Row],[Vertex 1]],GroupVertices[Vertex],0)),1,1,"")</f>
        <v>2</v>
      </c>
      <c r="R187" s="88" t="str">
        <f>REPLACE(INDEX(GroupVertices[Group],MATCH(Edges[[#This Row],[Vertex 2]],GroupVertices[Vertex],0)),1,1,"")</f>
        <v>2</v>
      </c>
      <c r="S187" s="34"/>
      <c r="T187" s="34"/>
      <c r="U187" s="34"/>
      <c r="V187" s="34"/>
      <c r="W187" s="34"/>
      <c r="X187" s="34"/>
      <c r="Y187" s="34"/>
      <c r="Z187" s="34"/>
      <c r="AA187" s="34"/>
    </row>
    <row r="188" spans="1:27" ht="15">
      <c r="A188" s="65" t="s">
        <v>223</v>
      </c>
      <c r="B188" s="65" t="s">
        <v>337</v>
      </c>
      <c r="C188" s="66" t="s">
        <v>2751</v>
      </c>
      <c r="D188" s="67">
        <v>3</v>
      </c>
      <c r="E188" s="68"/>
      <c r="F188" s="69">
        <v>50</v>
      </c>
      <c r="G188" s="66"/>
      <c r="H188" s="70"/>
      <c r="I188" s="71"/>
      <c r="J188" s="71"/>
      <c r="K188" s="34" t="s">
        <v>65</v>
      </c>
      <c r="L188" s="78">
        <v>188</v>
      </c>
      <c r="M188" s="78"/>
      <c r="N188" s="73"/>
      <c r="O188" s="89" t="s">
        <v>494</v>
      </c>
      <c r="P188">
        <v>1</v>
      </c>
      <c r="Q188" s="88" t="str">
        <f>REPLACE(INDEX(GroupVertices[Group],MATCH(Edges[[#This Row],[Vertex 1]],GroupVertices[Vertex],0)),1,1,"")</f>
        <v>2</v>
      </c>
      <c r="R188" s="88" t="str">
        <f>REPLACE(INDEX(GroupVertices[Group],MATCH(Edges[[#This Row],[Vertex 2]],GroupVertices[Vertex],0)),1,1,"")</f>
        <v>2</v>
      </c>
      <c r="S188" s="34"/>
      <c r="T188" s="34"/>
      <c r="U188" s="34"/>
      <c r="V188" s="34"/>
      <c r="W188" s="34"/>
      <c r="X188" s="34"/>
      <c r="Y188" s="34"/>
      <c r="Z188" s="34"/>
      <c r="AA188" s="34"/>
    </row>
    <row r="189" spans="1:27" ht="15">
      <c r="A189" s="65" t="s">
        <v>223</v>
      </c>
      <c r="B189" s="65" t="s">
        <v>352</v>
      </c>
      <c r="C189" s="66" t="s">
        <v>2751</v>
      </c>
      <c r="D189" s="67">
        <v>3</v>
      </c>
      <c r="E189" s="68"/>
      <c r="F189" s="69">
        <v>50</v>
      </c>
      <c r="G189" s="66"/>
      <c r="H189" s="70"/>
      <c r="I189" s="71"/>
      <c r="J189" s="71"/>
      <c r="K189" s="34" t="s">
        <v>65</v>
      </c>
      <c r="L189" s="78">
        <v>189</v>
      </c>
      <c r="M189" s="78"/>
      <c r="N189" s="73"/>
      <c r="O189" s="89" t="s">
        <v>494</v>
      </c>
      <c r="P189">
        <v>1</v>
      </c>
      <c r="Q189" s="88" t="str">
        <f>REPLACE(INDEX(GroupVertices[Group],MATCH(Edges[[#This Row],[Vertex 1]],GroupVertices[Vertex],0)),1,1,"")</f>
        <v>2</v>
      </c>
      <c r="R189" s="88" t="str">
        <f>REPLACE(INDEX(GroupVertices[Group],MATCH(Edges[[#This Row],[Vertex 2]],GroupVertices[Vertex],0)),1,1,"")</f>
        <v>1</v>
      </c>
      <c r="S189" s="34"/>
      <c r="T189" s="34"/>
      <c r="U189" s="34"/>
      <c r="V189" s="34"/>
      <c r="W189" s="34"/>
      <c r="X189" s="34"/>
      <c r="Y189" s="34"/>
      <c r="Z189" s="34"/>
      <c r="AA189" s="34"/>
    </row>
    <row r="190" spans="1:27" ht="15">
      <c r="A190" s="65" t="s">
        <v>223</v>
      </c>
      <c r="B190" s="65" t="s">
        <v>319</v>
      </c>
      <c r="C190" s="66" t="s">
        <v>2751</v>
      </c>
      <c r="D190" s="67">
        <v>3</v>
      </c>
      <c r="E190" s="68"/>
      <c r="F190" s="69">
        <v>50</v>
      </c>
      <c r="G190" s="66"/>
      <c r="H190" s="70"/>
      <c r="I190" s="71"/>
      <c r="J190" s="71"/>
      <c r="K190" s="34" t="s">
        <v>65</v>
      </c>
      <c r="L190" s="78">
        <v>190</v>
      </c>
      <c r="M190" s="78"/>
      <c r="N190" s="73"/>
      <c r="O190" s="89" t="s">
        <v>494</v>
      </c>
      <c r="P190">
        <v>1</v>
      </c>
      <c r="Q190" s="88" t="str">
        <f>REPLACE(INDEX(GroupVertices[Group],MATCH(Edges[[#This Row],[Vertex 1]],GroupVertices[Vertex],0)),1,1,"")</f>
        <v>2</v>
      </c>
      <c r="R190" s="88" t="str">
        <f>REPLACE(INDEX(GroupVertices[Group],MATCH(Edges[[#This Row],[Vertex 2]],GroupVertices[Vertex],0)),1,1,"")</f>
        <v>2</v>
      </c>
      <c r="S190" s="34"/>
      <c r="T190" s="34"/>
      <c r="U190" s="34"/>
      <c r="V190" s="34"/>
      <c r="W190" s="34"/>
      <c r="X190" s="34"/>
      <c r="Y190" s="34"/>
      <c r="Z190" s="34"/>
      <c r="AA190" s="34"/>
    </row>
    <row r="191" spans="1:27" ht="15">
      <c r="A191" s="65" t="s">
        <v>223</v>
      </c>
      <c r="B191" s="65" t="s">
        <v>257</v>
      </c>
      <c r="C191" s="66" t="s">
        <v>2751</v>
      </c>
      <c r="D191" s="67">
        <v>3</v>
      </c>
      <c r="E191" s="68"/>
      <c r="F191" s="69">
        <v>50</v>
      </c>
      <c r="G191" s="66"/>
      <c r="H191" s="70"/>
      <c r="I191" s="71"/>
      <c r="J191" s="71"/>
      <c r="K191" s="34" t="s">
        <v>65</v>
      </c>
      <c r="L191" s="78">
        <v>191</v>
      </c>
      <c r="M191" s="78"/>
      <c r="N191" s="73"/>
      <c r="O191" s="89" t="s">
        <v>494</v>
      </c>
      <c r="P191">
        <v>1</v>
      </c>
      <c r="Q191" s="88" t="str">
        <f>REPLACE(INDEX(GroupVertices[Group],MATCH(Edges[[#This Row],[Vertex 1]],GroupVertices[Vertex],0)),1,1,"")</f>
        <v>2</v>
      </c>
      <c r="R191" s="88" t="str">
        <f>REPLACE(INDEX(GroupVertices[Group],MATCH(Edges[[#This Row],[Vertex 2]],GroupVertices[Vertex],0)),1,1,"")</f>
        <v>2</v>
      </c>
      <c r="S191" s="34"/>
      <c r="T191" s="34"/>
      <c r="U191" s="34"/>
      <c r="V191" s="34"/>
      <c r="W191" s="34"/>
      <c r="X191" s="34"/>
      <c r="Y191" s="34"/>
      <c r="Z191" s="34"/>
      <c r="AA191" s="34"/>
    </row>
    <row r="192" spans="1:27" ht="15">
      <c r="A192" s="65" t="s">
        <v>223</v>
      </c>
      <c r="B192" s="65" t="s">
        <v>262</v>
      </c>
      <c r="C192" s="66" t="s">
        <v>2751</v>
      </c>
      <c r="D192" s="67">
        <v>3</v>
      </c>
      <c r="E192" s="68"/>
      <c r="F192" s="69">
        <v>50</v>
      </c>
      <c r="G192" s="66"/>
      <c r="H192" s="70"/>
      <c r="I192" s="71"/>
      <c r="J192" s="71"/>
      <c r="K192" s="34" t="s">
        <v>65</v>
      </c>
      <c r="L192" s="78">
        <v>192</v>
      </c>
      <c r="M192" s="78"/>
      <c r="N192" s="73"/>
      <c r="O192" s="89" t="s">
        <v>494</v>
      </c>
      <c r="P192">
        <v>1</v>
      </c>
      <c r="Q192" s="88" t="str">
        <f>REPLACE(INDEX(GroupVertices[Group],MATCH(Edges[[#This Row],[Vertex 1]],GroupVertices[Vertex],0)),1,1,"")</f>
        <v>2</v>
      </c>
      <c r="R192" s="88" t="str">
        <f>REPLACE(INDEX(GroupVertices[Group],MATCH(Edges[[#This Row],[Vertex 2]],GroupVertices[Vertex],0)),1,1,"")</f>
        <v>2</v>
      </c>
      <c r="S192" s="34"/>
      <c r="T192" s="34"/>
      <c r="U192" s="34"/>
      <c r="V192" s="34"/>
      <c r="W192" s="34"/>
      <c r="X192" s="34"/>
      <c r="Y192" s="34"/>
      <c r="Z192" s="34"/>
      <c r="AA192" s="34"/>
    </row>
    <row r="193" spans="1:27" ht="15">
      <c r="A193" s="65" t="s">
        <v>224</v>
      </c>
      <c r="B193" s="65" t="s">
        <v>336</v>
      </c>
      <c r="C193" s="66" t="s">
        <v>2751</v>
      </c>
      <c r="D193" s="67">
        <v>3</v>
      </c>
      <c r="E193" s="68"/>
      <c r="F193" s="69">
        <v>50</v>
      </c>
      <c r="G193" s="66"/>
      <c r="H193" s="70"/>
      <c r="I193" s="71"/>
      <c r="J193" s="71"/>
      <c r="K193" s="34" t="s">
        <v>65</v>
      </c>
      <c r="L193" s="78">
        <v>193</v>
      </c>
      <c r="M193" s="78"/>
      <c r="N193" s="73"/>
      <c r="O193" s="89" t="s">
        <v>494</v>
      </c>
      <c r="P193">
        <v>1</v>
      </c>
      <c r="Q193" s="88" t="str">
        <f>REPLACE(INDEX(GroupVertices[Group],MATCH(Edges[[#This Row],[Vertex 1]],GroupVertices[Vertex],0)),1,1,"")</f>
        <v>2</v>
      </c>
      <c r="R193" s="88" t="str">
        <f>REPLACE(INDEX(GroupVertices[Group],MATCH(Edges[[#This Row],[Vertex 2]],GroupVertices[Vertex],0)),1,1,"")</f>
        <v>2</v>
      </c>
      <c r="S193" s="34"/>
      <c r="T193" s="34"/>
      <c r="U193" s="34"/>
      <c r="V193" s="34"/>
      <c r="W193" s="34"/>
      <c r="X193" s="34"/>
      <c r="Y193" s="34"/>
      <c r="Z193" s="34"/>
      <c r="AA193" s="34"/>
    </row>
    <row r="194" spans="1:27" ht="15">
      <c r="A194" s="65" t="s">
        <v>224</v>
      </c>
      <c r="B194" s="65" t="s">
        <v>353</v>
      </c>
      <c r="C194" s="66" t="s">
        <v>2751</v>
      </c>
      <c r="D194" s="67">
        <v>3</v>
      </c>
      <c r="E194" s="68"/>
      <c r="F194" s="69">
        <v>50</v>
      </c>
      <c r="G194" s="66"/>
      <c r="H194" s="70"/>
      <c r="I194" s="71"/>
      <c r="J194" s="71"/>
      <c r="K194" s="34" t="s">
        <v>65</v>
      </c>
      <c r="L194" s="78">
        <v>194</v>
      </c>
      <c r="M194" s="78"/>
      <c r="N194" s="73"/>
      <c r="O194" s="89" t="s">
        <v>494</v>
      </c>
      <c r="P194">
        <v>1</v>
      </c>
      <c r="Q194" s="88" t="str">
        <f>REPLACE(INDEX(GroupVertices[Group],MATCH(Edges[[#This Row],[Vertex 1]],GroupVertices[Vertex],0)),1,1,"")</f>
        <v>2</v>
      </c>
      <c r="R194" s="88" t="str">
        <f>REPLACE(INDEX(GroupVertices[Group],MATCH(Edges[[#This Row],[Vertex 2]],GroupVertices[Vertex],0)),1,1,"")</f>
        <v>2</v>
      </c>
      <c r="S194" s="34"/>
      <c r="T194" s="34"/>
      <c r="U194" s="34"/>
      <c r="V194" s="34"/>
      <c r="W194" s="34"/>
      <c r="X194" s="34"/>
      <c r="Y194" s="34"/>
      <c r="Z194" s="34"/>
      <c r="AA194" s="34"/>
    </row>
    <row r="195" spans="1:27" ht="15">
      <c r="A195" s="65" t="s">
        <v>224</v>
      </c>
      <c r="B195" s="65" t="s">
        <v>354</v>
      </c>
      <c r="C195" s="66" t="s">
        <v>2751</v>
      </c>
      <c r="D195" s="67">
        <v>3</v>
      </c>
      <c r="E195" s="68"/>
      <c r="F195" s="69">
        <v>50</v>
      </c>
      <c r="G195" s="66"/>
      <c r="H195" s="70"/>
      <c r="I195" s="71"/>
      <c r="J195" s="71"/>
      <c r="K195" s="34" t="s">
        <v>65</v>
      </c>
      <c r="L195" s="78">
        <v>195</v>
      </c>
      <c r="M195" s="78"/>
      <c r="N195" s="73"/>
      <c r="O195" s="89" t="s">
        <v>494</v>
      </c>
      <c r="P195">
        <v>1</v>
      </c>
      <c r="Q195" s="88" t="str">
        <f>REPLACE(INDEX(GroupVertices[Group],MATCH(Edges[[#This Row],[Vertex 1]],GroupVertices[Vertex],0)),1,1,"")</f>
        <v>2</v>
      </c>
      <c r="R195" s="88" t="str">
        <f>REPLACE(INDEX(GroupVertices[Group],MATCH(Edges[[#This Row],[Vertex 2]],GroupVertices[Vertex],0)),1,1,"")</f>
        <v>2</v>
      </c>
      <c r="S195" s="34"/>
      <c r="T195" s="34"/>
      <c r="U195" s="34"/>
      <c r="V195" s="34"/>
      <c r="W195" s="34"/>
      <c r="X195" s="34"/>
      <c r="Y195" s="34"/>
      <c r="Z195" s="34"/>
      <c r="AA195" s="34"/>
    </row>
    <row r="196" spans="1:27" ht="15">
      <c r="A196" s="65" t="s">
        <v>224</v>
      </c>
      <c r="B196" s="65" t="s">
        <v>310</v>
      </c>
      <c r="C196" s="66" t="s">
        <v>2751</v>
      </c>
      <c r="D196" s="67">
        <v>3</v>
      </c>
      <c r="E196" s="68"/>
      <c r="F196" s="69">
        <v>50</v>
      </c>
      <c r="G196" s="66"/>
      <c r="H196" s="70"/>
      <c r="I196" s="71"/>
      <c r="J196" s="71"/>
      <c r="K196" s="34" t="s">
        <v>65</v>
      </c>
      <c r="L196" s="78">
        <v>196</v>
      </c>
      <c r="M196" s="78"/>
      <c r="N196" s="73"/>
      <c r="O196" s="89" t="s">
        <v>494</v>
      </c>
      <c r="P196">
        <v>1</v>
      </c>
      <c r="Q196" s="88" t="str">
        <f>REPLACE(INDEX(GroupVertices[Group],MATCH(Edges[[#This Row],[Vertex 1]],GroupVertices[Vertex],0)),1,1,"")</f>
        <v>2</v>
      </c>
      <c r="R196" s="88" t="str">
        <f>REPLACE(INDEX(GroupVertices[Group],MATCH(Edges[[#This Row],[Vertex 2]],GroupVertices[Vertex],0)),1,1,"")</f>
        <v>2</v>
      </c>
      <c r="S196" s="34"/>
      <c r="T196" s="34"/>
      <c r="U196" s="34"/>
      <c r="V196" s="34"/>
      <c r="W196" s="34"/>
      <c r="X196" s="34"/>
      <c r="Y196" s="34"/>
      <c r="Z196" s="34"/>
      <c r="AA196" s="34"/>
    </row>
    <row r="197" spans="1:27" ht="15">
      <c r="A197" s="65" t="s">
        <v>224</v>
      </c>
      <c r="B197" s="65" t="s">
        <v>355</v>
      </c>
      <c r="C197" s="66" t="s">
        <v>2751</v>
      </c>
      <c r="D197" s="67">
        <v>3</v>
      </c>
      <c r="E197" s="68"/>
      <c r="F197" s="69">
        <v>50</v>
      </c>
      <c r="G197" s="66"/>
      <c r="H197" s="70"/>
      <c r="I197" s="71"/>
      <c r="J197" s="71"/>
      <c r="K197" s="34" t="s">
        <v>65</v>
      </c>
      <c r="L197" s="78">
        <v>197</v>
      </c>
      <c r="M197" s="78"/>
      <c r="N197" s="73"/>
      <c r="O197" s="89" t="s">
        <v>494</v>
      </c>
      <c r="P197">
        <v>1</v>
      </c>
      <c r="Q197" s="88" t="str">
        <f>REPLACE(INDEX(GroupVertices[Group],MATCH(Edges[[#This Row],[Vertex 1]],GroupVertices[Vertex],0)),1,1,"")</f>
        <v>2</v>
      </c>
      <c r="R197" s="88" t="str">
        <f>REPLACE(INDEX(GroupVertices[Group],MATCH(Edges[[#This Row],[Vertex 2]],GroupVertices[Vertex],0)),1,1,"")</f>
        <v>2</v>
      </c>
      <c r="S197" s="34"/>
      <c r="T197" s="34"/>
      <c r="U197" s="34"/>
      <c r="V197" s="34"/>
      <c r="W197" s="34"/>
      <c r="X197" s="34"/>
      <c r="Y197" s="34"/>
      <c r="Z197" s="34"/>
      <c r="AA197" s="34"/>
    </row>
    <row r="198" spans="1:27" ht="15">
      <c r="A198" s="65" t="s">
        <v>224</v>
      </c>
      <c r="B198" s="65" t="s">
        <v>356</v>
      </c>
      <c r="C198" s="66" t="s">
        <v>2751</v>
      </c>
      <c r="D198" s="67">
        <v>3</v>
      </c>
      <c r="E198" s="68"/>
      <c r="F198" s="69">
        <v>50</v>
      </c>
      <c r="G198" s="66"/>
      <c r="H198" s="70"/>
      <c r="I198" s="71"/>
      <c r="J198" s="71"/>
      <c r="K198" s="34" t="s">
        <v>65</v>
      </c>
      <c r="L198" s="78">
        <v>198</v>
      </c>
      <c r="M198" s="78"/>
      <c r="N198" s="73"/>
      <c r="O198" s="89" t="s">
        <v>494</v>
      </c>
      <c r="P198">
        <v>1</v>
      </c>
      <c r="Q198" s="88" t="str">
        <f>REPLACE(INDEX(GroupVertices[Group],MATCH(Edges[[#This Row],[Vertex 1]],GroupVertices[Vertex],0)),1,1,"")</f>
        <v>2</v>
      </c>
      <c r="R198" s="88" t="str">
        <f>REPLACE(INDEX(GroupVertices[Group],MATCH(Edges[[#This Row],[Vertex 2]],GroupVertices[Vertex],0)),1,1,"")</f>
        <v>2</v>
      </c>
      <c r="S198" s="34"/>
      <c r="T198" s="34"/>
      <c r="U198" s="34"/>
      <c r="V198" s="34"/>
      <c r="W198" s="34"/>
      <c r="X198" s="34"/>
      <c r="Y198" s="34"/>
      <c r="Z198" s="34"/>
      <c r="AA198" s="34"/>
    </row>
    <row r="199" spans="1:27" ht="15">
      <c r="A199" s="65" t="s">
        <v>222</v>
      </c>
      <c r="B199" s="65" t="s">
        <v>311</v>
      </c>
      <c r="C199" s="66" t="s">
        <v>2751</v>
      </c>
      <c r="D199" s="67">
        <v>3</v>
      </c>
      <c r="E199" s="68"/>
      <c r="F199" s="69">
        <v>50</v>
      </c>
      <c r="G199" s="66"/>
      <c r="H199" s="70"/>
      <c r="I199" s="71"/>
      <c r="J199" s="71"/>
      <c r="K199" s="34" t="s">
        <v>65</v>
      </c>
      <c r="L199" s="78">
        <v>199</v>
      </c>
      <c r="M199" s="78"/>
      <c r="N199" s="73"/>
      <c r="O199" s="89" t="s">
        <v>494</v>
      </c>
      <c r="P199">
        <v>1</v>
      </c>
      <c r="Q199" s="88" t="str">
        <f>REPLACE(INDEX(GroupVertices[Group],MATCH(Edges[[#This Row],[Vertex 1]],GroupVertices[Vertex],0)),1,1,"")</f>
        <v>2</v>
      </c>
      <c r="R199" s="88" t="str">
        <f>REPLACE(INDEX(GroupVertices[Group],MATCH(Edges[[#This Row],[Vertex 2]],GroupVertices[Vertex],0)),1,1,"")</f>
        <v>2</v>
      </c>
      <c r="S199" s="34"/>
      <c r="T199" s="34"/>
      <c r="U199" s="34"/>
      <c r="V199" s="34"/>
      <c r="W199" s="34"/>
      <c r="X199" s="34"/>
      <c r="Y199" s="34"/>
      <c r="Z199" s="34"/>
      <c r="AA199" s="34"/>
    </row>
    <row r="200" spans="1:27" ht="15">
      <c r="A200" s="65" t="s">
        <v>224</v>
      </c>
      <c r="B200" s="65" t="s">
        <v>311</v>
      </c>
      <c r="C200" s="66" t="s">
        <v>2751</v>
      </c>
      <c r="D200" s="67">
        <v>3</v>
      </c>
      <c r="E200" s="68"/>
      <c r="F200" s="69">
        <v>50</v>
      </c>
      <c r="G200" s="66"/>
      <c r="H200" s="70"/>
      <c r="I200" s="71"/>
      <c r="J200" s="71"/>
      <c r="K200" s="34" t="s">
        <v>65</v>
      </c>
      <c r="L200" s="78">
        <v>200</v>
      </c>
      <c r="M200" s="78"/>
      <c r="N200" s="73"/>
      <c r="O200" s="89" t="s">
        <v>494</v>
      </c>
      <c r="P200">
        <v>1</v>
      </c>
      <c r="Q200" s="88" t="str">
        <f>REPLACE(INDEX(GroupVertices[Group],MATCH(Edges[[#This Row],[Vertex 1]],GroupVertices[Vertex],0)),1,1,"")</f>
        <v>2</v>
      </c>
      <c r="R200" s="88" t="str">
        <f>REPLACE(INDEX(GroupVertices[Group],MATCH(Edges[[#This Row],[Vertex 2]],GroupVertices[Vertex],0)),1,1,"")</f>
        <v>2</v>
      </c>
      <c r="S200" s="34"/>
      <c r="T200" s="34"/>
      <c r="U200" s="34"/>
      <c r="V200" s="34"/>
      <c r="W200" s="34"/>
      <c r="X200" s="34"/>
      <c r="Y200" s="34"/>
      <c r="Z200" s="34"/>
      <c r="AA200" s="34"/>
    </row>
    <row r="201" spans="1:27" ht="15">
      <c r="A201" s="65" t="s">
        <v>224</v>
      </c>
      <c r="B201" s="65" t="s">
        <v>357</v>
      </c>
      <c r="C201" s="66" t="s">
        <v>2751</v>
      </c>
      <c r="D201" s="67">
        <v>3</v>
      </c>
      <c r="E201" s="68"/>
      <c r="F201" s="69">
        <v>50</v>
      </c>
      <c r="G201" s="66"/>
      <c r="H201" s="70"/>
      <c r="I201" s="71"/>
      <c r="J201" s="71"/>
      <c r="K201" s="34" t="s">
        <v>65</v>
      </c>
      <c r="L201" s="78">
        <v>201</v>
      </c>
      <c r="M201" s="78"/>
      <c r="N201" s="73"/>
      <c r="O201" s="89" t="s">
        <v>494</v>
      </c>
      <c r="P201">
        <v>1</v>
      </c>
      <c r="Q201" s="88" t="str">
        <f>REPLACE(INDEX(GroupVertices[Group],MATCH(Edges[[#This Row],[Vertex 1]],GroupVertices[Vertex],0)),1,1,"")</f>
        <v>2</v>
      </c>
      <c r="R201" s="88" t="str">
        <f>REPLACE(INDEX(GroupVertices[Group],MATCH(Edges[[#This Row],[Vertex 2]],GroupVertices[Vertex],0)),1,1,"")</f>
        <v>2</v>
      </c>
      <c r="S201" s="34"/>
      <c r="T201" s="34"/>
      <c r="U201" s="34"/>
      <c r="V201" s="34"/>
      <c r="W201" s="34"/>
      <c r="X201" s="34"/>
      <c r="Y201" s="34"/>
      <c r="Z201" s="34"/>
      <c r="AA201" s="34"/>
    </row>
    <row r="202" spans="1:27" ht="15">
      <c r="A202" s="65" t="s">
        <v>225</v>
      </c>
      <c r="B202" s="65" t="s">
        <v>358</v>
      </c>
      <c r="C202" s="66" t="s">
        <v>2751</v>
      </c>
      <c r="D202" s="67">
        <v>3</v>
      </c>
      <c r="E202" s="68"/>
      <c r="F202" s="69">
        <v>50</v>
      </c>
      <c r="G202" s="66"/>
      <c r="H202" s="70"/>
      <c r="I202" s="71"/>
      <c r="J202" s="71"/>
      <c r="K202" s="34" t="s">
        <v>65</v>
      </c>
      <c r="L202" s="78">
        <v>202</v>
      </c>
      <c r="M202" s="78"/>
      <c r="N202" s="73"/>
      <c r="O202" s="89" t="s">
        <v>494</v>
      </c>
      <c r="P202">
        <v>1</v>
      </c>
      <c r="Q202" s="88" t="str">
        <f>REPLACE(INDEX(GroupVertices[Group],MATCH(Edges[[#This Row],[Vertex 1]],GroupVertices[Vertex],0)),1,1,"")</f>
        <v>1</v>
      </c>
      <c r="R202" s="88" t="str">
        <f>REPLACE(INDEX(GroupVertices[Group],MATCH(Edges[[#This Row],[Vertex 2]],GroupVertices[Vertex],0)),1,1,"")</f>
        <v>1</v>
      </c>
      <c r="S202" s="34"/>
      <c r="T202" s="34"/>
      <c r="U202" s="34"/>
      <c r="V202" s="34"/>
      <c r="W202" s="34"/>
      <c r="X202" s="34"/>
      <c r="Y202" s="34"/>
      <c r="Z202" s="34"/>
      <c r="AA202" s="34"/>
    </row>
    <row r="203" spans="1:27" ht="15">
      <c r="A203" s="65" t="s">
        <v>225</v>
      </c>
      <c r="B203" s="65" t="s">
        <v>359</v>
      </c>
      <c r="C203" s="66" t="s">
        <v>2751</v>
      </c>
      <c r="D203" s="67">
        <v>3</v>
      </c>
      <c r="E203" s="68"/>
      <c r="F203" s="69">
        <v>50</v>
      </c>
      <c r="G203" s="66"/>
      <c r="H203" s="70"/>
      <c r="I203" s="71"/>
      <c r="J203" s="71"/>
      <c r="K203" s="34" t="s">
        <v>65</v>
      </c>
      <c r="L203" s="78">
        <v>203</v>
      </c>
      <c r="M203" s="78"/>
      <c r="N203" s="73"/>
      <c r="O203" s="89" t="s">
        <v>494</v>
      </c>
      <c r="P203">
        <v>1</v>
      </c>
      <c r="Q203" s="88" t="str">
        <f>REPLACE(INDEX(GroupVertices[Group],MATCH(Edges[[#This Row],[Vertex 1]],GroupVertices[Vertex],0)),1,1,"")</f>
        <v>1</v>
      </c>
      <c r="R203" s="88" t="str">
        <f>REPLACE(INDEX(GroupVertices[Group],MATCH(Edges[[#This Row],[Vertex 2]],GroupVertices[Vertex],0)),1,1,"")</f>
        <v>1</v>
      </c>
      <c r="S203" s="34"/>
      <c r="T203" s="34"/>
      <c r="U203" s="34"/>
      <c r="V203" s="34"/>
      <c r="W203" s="34"/>
      <c r="X203" s="34"/>
      <c r="Y203" s="34"/>
      <c r="Z203" s="34"/>
      <c r="AA203" s="34"/>
    </row>
    <row r="204" spans="1:27" ht="15">
      <c r="A204" s="65" t="s">
        <v>224</v>
      </c>
      <c r="B204" s="65" t="s">
        <v>337</v>
      </c>
      <c r="C204" s="66" t="s">
        <v>2751</v>
      </c>
      <c r="D204" s="67">
        <v>3</v>
      </c>
      <c r="E204" s="68"/>
      <c r="F204" s="69">
        <v>50</v>
      </c>
      <c r="G204" s="66"/>
      <c r="H204" s="70"/>
      <c r="I204" s="71"/>
      <c r="J204" s="71"/>
      <c r="K204" s="34" t="s">
        <v>65</v>
      </c>
      <c r="L204" s="78">
        <v>204</v>
      </c>
      <c r="M204" s="78"/>
      <c r="N204" s="73"/>
      <c r="O204" s="89" t="s">
        <v>494</v>
      </c>
      <c r="P204">
        <v>1</v>
      </c>
      <c r="Q204" s="88" t="str">
        <f>REPLACE(INDEX(GroupVertices[Group],MATCH(Edges[[#This Row],[Vertex 1]],GroupVertices[Vertex],0)),1,1,"")</f>
        <v>2</v>
      </c>
      <c r="R204" s="88" t="str">
        <f>REPLACE(INDEX(GroupVertices[Group],MATCH(Edges[[#This Row],[Vertex 2]],GroupVertices[Vertex],0)),1,1,"")</f>
        <v>2</v>
      </c>
      <c r="S204" s="34"/>
      <c r="T204" s="34"/>
      <c r="U204" s="34"/>
      <c r="V204" s="34"/>
      <c r="W204" s="34"/>
      <c r="X204" s="34"/>
      <c r="Y204" s="34"/>
      <c r="Z204" s="34"/>
      <c r="AA204" s="34"/>
    </row>
    <row r="205" spans="1:27" ht="15">
      <c r="A205" s="65" t="s">
        <v>225</v>
      </c>
      <c r="B205" s="65" t="s">
        <v>337</v>
      </c>
      <c r="C205" s="66" t="s">
        <v>2751</v>
      </c>
      <c r="D205" s="67">
        <v>3</v>
      </c>
      <c r="E205" s="68"/>
      <c r="F205" s="69">
        <v>50</v>
      </c>
      <c r="G205" s="66"/>
      <c r="H205" s="70"/>
      <c r="I205" s="71"/>
      <c r="J205" s="71"/>
      <c r="K205" s="34" t="s">
        <v>65</v>
      </c>
      <c r="L205" s="78">
        <v>205</v>
      </c>
      <c r="M205" s="78"/>
      <c r="N205" s="73"/>
      <c r="O205" s="89" t="s">
        <v>494</v>
      </c>
      <c r="P205">
        <v>1</v>
      </c>
      <c r="Q205" s="88" t="str">
        <f>REPLACE(INDEX(GroupVertices[Group],MATCH(Edges[[#This Row],[Vertex 1]],GroupVertices[Vertex],0)),1,1,"")</f>
        <v>1</v>
      </c>
      <c r="R205" s="88" t="str">
        <f>REPLACE(INDEX(GroupVertices[Group],MATCH(Edges[[#This Row],[Vertex 2]],GroupVertices[Vertex],0)),1,1,"")</f>
        <v>2</v>
      </c>
      <c r="S205" s="34"/>
      <c r="T205" s="34"/>
      <c r="U205" s="34"/>
      <c r="V205" s="34"/>
      <c r="W205" s="34"/>
      <c r="X205" s="34"/>
      <c r="Y205" s="34"/>
      <c r="Z205" s="34"/>
      <c r="AA205" s="34"/>
    </row>
    <row r="206" spans="1:27" ht="15">
      <c r="A206" s="65" t="s">
        <v>225</v>
      </c>
      <c r="B206" s="65" t="s">
        <v>360</v>
      </c>
      <c r="C206" s="66" t="s">
        <v>2751</v>
      </c>
      <c r="D206" s="67">
        <v>3</v>
      </c>
      <c r="E206" s="68"/>
      <c r="F206" s="69">
        <v>50</v>
      </c>
      <c r="G206" s="66"/>
      <c r="H206" s="70"/>
      <c r="I206" s="71"/>
      <c r="J206" s="71"/>
      <c r="K206" s="34" t="s">
        <v>65</v>
      </c>
      <c r="L206" s="78">
        <v>206</v>
      </c>
      <c r="M206" s="78"/>
      <c r="N206" s="73"/>
      <c r="O206" s="89" t="s">
        <v>494</v>
      </c>
      <c r="P206">
        <v>1</v>
      </c>
      <c r="Q206" s="88" t="str">
        <f>REPLACE(INDEX(GroupVertices[Group],MATCH(Edges[[#This Row],[Vertex 1]],GroupVertices[Vertex],0)),1,1,"")</f>
        <v>1</v>
      </c>
      <c r="R206" s="88" t="str">
        <f>REPLACE(INDEX(GroupVertices[Group],MATCH(Edges[[#This Row],[Vertex 2]],GroupVertices[Vertex],0)),1,1,"")</f>
        <v>1</v>
      </c>
      <c r="S206" s="34"/>
      <c r="T206" s="34"/>
      <c r="U206" s="34"/>
      <c r="V206" s="34"/>
      <c r="W206" s="34"/>
      <c r="X206" s="34"/>
      <c r="Y206" s="34"/>
      <c r="Z206" s="34"/>
      <c r="AA206" s="34"/>
    </row>
    <row r="207" spans="1:27" ht="15">
      <c r="A207" s="65" t="s">
        <v>225</v>
      </c>
      <c r="B207" s="65" t="s">
        <v>361</v>
      </c>
      <c r="C207" s="66" t="s">
        <v>2751</v>
      </c>
      <c r="D207" s="67">
        <v>3</v>
      </c>
      <c r="E207" s="68"/>
      <c r="F207" s="69">
        <v>50</v>
      </c>
      <c r="G207" s="66"/>
      <c r="H207" s="70"/>
      <c r="I207" s="71"/>
      <c r="J207" s="71"/>
      <c r="K207" s="34" t="s">
        <v>65</v>
      </c>
      <c r="L207" s="78">
        <v>207</v>
      </c>
      <c r="M207" s="78"/>
      <c r="N207" s="73"/>
      <c r="O207" s="89" t="s">
        <v>494</v>
      </c>
      <c r="P207">
        <v>1</v>
      </c>
      <c r="Q207" s="88" t="str">
        <f>REPLACE(INDEX(GroupVertices[Group],MATCH(Edges[[#This Row],[Vertex 1]],GroupVertices[Vertex],0)),1,1,"")</f>
        <v>1</v>
      </c>
      <c r="R207" s="88" t="str">
        <f>REPLACE(INDEX(GroupVertices[Group],MATCH(Edges[[#This Row],[Vertex 2]],GroupVertices[Vertex],0)),1,1,"")</f>
        <v>1</v>
      </c>
      <c r="S207" s="34"/>
      <c r="T207" s="34"/>
      <c r="U207" s="34"/>
      <c r="V207" s="34"/>
      <c r="W207" s="34"/>
      <c r="X207" s="34"/>
      <c r="Y207" s="34"/>
      <c r="Z207" s="34"/>
      <c r="AA207" s="34"/>
    </row>
    <row r="208" spans="1:27" ht="15">
      <c r="A208" s="65" t="s">
        <v>225</v>
      </c>
      <c r="B208" s="65" t="s">
        <v>362</v>
      </c>
      <c r="C208" s="66" t="s">
        <v>2751</v>
      </c>
      <c r="D208" s="67">
        <v>3</v>
      </c>
      <c r="E208" s="68"/>
      <c r="F208" s="69">
        <v>50</v>
      </c>
      <c r="G208" s="66"/>
      <c r="H208" s="70"/>
      <c r="I208" s="71"/>
      <c r="J208" s="71"/>
      <c r="K208" s="34" t="s">
        <v>65</v>
      </c>
      <c r="L208" s="78">
        <v>208</v>
      </c>
      <c r="M208" s="78"/>
      <c r="N208" s="73"/>
      <c r="O208" s="89" t="s">
        <v>494</v>
      </c>
      <c r="P208">
        <v>1</v>
      </c>
      <c r="Q208" s="88" t="str">
        <f>REPLACE(INDEX(GroupVertices[Group],MATCH(Edges[[#This Row],[Vertex 1]],GroupVertices[Vertex],0)),1,1,"")</f>
        <v>1</v>
      </c>
      <c r="R208" s="88" t="str">
        <f>REPLACE(INDEX(GroupVertices[Group],MATCH(Edges[[#This Row],[Vertex 2]],GroupVertices[Vertex],0)),1,1,"")</f>
        <v>1</v>
      </c>
      <c r="S208" s="34"/>
      <c r="T208" s="34"/>
      <c r="U208" s="34"/>
      <c r="V208" s="34"/>
      <c r="W208" s="34"/>
      <c r="X208" s="34"/>
      <c r="Y208" s="34"/>
      <c r="Z208" s="34"/>
      <c r="AA208" s="34"/>
    </row>
    <row r="209" spans="1:27" ht="15">
      <c r="A209" s="65" t="s">
        <v>225</v>
      </c>
      <c r="B209" s="65" t="s">
        <v>363</v>
      </c>
      <c r="C209" s="66" t="s">
        <v>2751</v>
      </c>
      <c r="D209" s="67">
        <v>3</v>
      </c>
      <c r="E209" s="68"/>
      <c r="F209" s="69">
        <v>50</v>
      </c>
      <c r="G209" s="66"/>
      <c r="H209" s="70"/>
      <c r="I209" s="71"/>
      <c r="J209" s="71"/>
      <c r="K209" s="34" t="s">
        <v>65</v>
      </c>
      <c r="L209" s="78">
        <v>209</v>
      </c>
      <c r="M209" s="78"/>
      <c r="N209" s="73"/>
      <c r="O209" s="89" t="s">
        <v>494</v>
      </c>
      <c r="P209">
        <v>1</v>
      </c>
      <c r="Q209" s="88" t="str">
        <f>REPLACE(INDEX(GroupVertices[Group],MATCH(Edges[[#This Row],[Vertex 1]],GroupVertices[Vertex],0)),1,1,"")</f>
        <v>1</v>
      </c>
      <c r="R209" s="88" t="str">
        <f>REPLACE(INDEX(GroupVertices[Group],MATCH(Edges[[#This Row],[Vertex 2]],GroupVertices[Vertex],0)),1,1,"")</f>
        <v>1</v>
      </c>
      <c r="S209" s="34"/>
      <c r="T209" s="34"/>
      <c r="U209" s="34"/>
      <c r="V209" s="34"/>
      <c r="W209" s="34"/>
      <c r="X209" s="34"/>
      <c r="Y209" s="34"/>
      <c r="Z209" s="34"/>
      <c r="AA209" s="34"/>
    </row>
    <row r="210" spans="1:27" ht="15">
      <c r="A210" s="65" t="s">
        <v>225</v>
      </c>
      <c r="B210" s="65" t="s">
        <v>364</v>
      </c>
      <c r="C210" s="66" t="s">
        <v>2751</v>
      </c>
      <c r="D210" s="67">
        <v>3</v>
      </c>
      <c r="E210" s="68"/>
      <c r="F210" s="69">
        <v>50</v>
      </c>
      <c r="G210" s="66"/>
      <c r="H210" s="70"/>
      <c r="I210" s="71"/>
      <c r="J210" s="71"/>
      <c r="K210" s="34" t="s">
        <v>65</v>
      </c>
      <c r="L210" s="78">
        <v>210</v>
      </c>
      <c r="M210" s="78"/>
      <c r="N210" s="73"/>
      <c r="O210" s="89" t="s">
        <v>494</v>
      </c>
      <c r="P210">
        <v>1</v>
      </c>
      <c r="Q210" s="88" t="str">
        <f>REPLACE(INDEX(GroupVertices[Group],MATCH(Edges[[#This Row],[Vertex 1]],GroupVertices[Vertex],0)),1,1,"")</f>
        <v>1</v>
      </c>
      <c r="R210" s="88" t="str">
        <f>REPLACE(INDEX(GroupVertices[Group],MATCH(Edges[[#This Row],[Vertex 2]],GroupVertices[Vertex],0)),1,1,"")</f>
        <v>1</v>
      </c>
      <c r="S210" s="34"/>
      <c r="T210" s="34"/>
      <c r="U210" s="34"/>
      <c r="V210" s="34"/>
      <c r="W210" s="34"/>
      <c r="X210" s="34"/>
      <c r="Y210" s="34"/>
      <c r="Z210" s="34"/>
      <c r="AA210" s="34"/>
    </row>
    <row r="211" spans="1:27" ht="15">
      <c r="A211" s="65" t="s">
        <v>222</v>
      </c>
      <c r="B211" s="65" t="s">
        <v>266</v>
      </c>
      <c r="C211" s="66" t="s">
        <v>2751</v>
      </c>
      <c r="D211" s="67">
        <v>3</v>
      </c>
      <c r="E211" s="68"/>
      <c r="F211" s="69">
        <v>50</v>
      </c>
      <c r="G211" s="66"/>
      <c r="H211" s="70"/>
      <c r="I211" s="71"/>
      <c r="J211" s="71"/>
      <c r="K211" s="34" t="s">
        <v>65</v>
      </c>
      <c r="L211" s="78">
        <v>211</v>
      </c>
      <c r="M211" s="78"/>
      <c r="N211" s="73"/>
      <c r="O211" s="89" t="s">
        <v>494</v>
      </c>
      <c r="P211">
        <v>1</v>
      </c>
      <c r="Q211" s="88" t="str">
        <f>REPLACE(INDEX(GroupVertices[Group],MATCH(Edges[[#This Row],[Vertex 1]],GroupVertices[Vertex],0)),1,1,"")</f>
        <v>2</v>
      </c>
      <c r="R211" s="88" t="str">
        <f>REPLACE(INDEX(GroupVertices[Group],MATCH(Edges[[#This Row],[Vertex 2]],GroupVertices[Vertex],0)),1,1,"")</f>
        <v>2</v>
      </c>
      <c r="S211" s="34"/>
      <c r="T211" s="34"/>
      <c r="U211" s="34"/>
      <c r="V211" s="34"/>
      <c r="W211" s="34"/>
      <c r="X211" s="34"/>
      <c r="Y211" s="34"/>
      <c r="Z211" s="34"/>
      <c r="AA211" s="34"/>
    </row>
    <row r="212" spans="1:27" ht="15">
      <c r="A212" s="65" t="s">
        <v>224</v>
      </c>
      <c r="B212" s="65" t="s">
        <v>266</v>
      </c>
      <c r="C212" s="66" t="s">
        <v>2751</v>
      </c>
      <c r="D212" s="67">
        <v>3</v>
      </c>
      <c r="E212" s="68"/>
      <c r="F212" s="69">
        <v>50</v>
      </c>
      <c r="G212" s="66"/>
      <c r="H212" s="70"/>
      <c r="I212" s="71"/>
      <c r="J212" s="71"/>
      <c r="K212" s="34" t="s">
        <v>65</v>
      </c>
      <c r="L212" s="78">
        <v>212</v>
      </c>
      <c r="M212" s="78"/>
      <c r="N212" s="73"/>
      <c r="O212" s="89" t="s">
        <v>494</v>
      </c>
      <c r="P212">
        <v>1</v>
      </c>
      <c r="Q212" s="88" t="str">
        <f>REPLACE(INDEX(GroupVertices[Group],MATCH(Edges[[#This Row],[Vertex 1]],GroupVertices[Vertex],0)),1,1,"")</f>
        <v>2</v>
      </c>
      <c r="R212" s="88" t="str">
        <f>REPLACE(INDEX(GroupVertices[Group],MATCH(Edges[[#This Row],[Vertex 2]],GroupVertices[Vertex],0)),1,1,"")</f>
        <v>2</v>
      </c>
      <c r="S212" s="34"/>
      <c r="T212" s="34"/>
      <c r="U212" s="34"/>
      <c r="V212" s="34"/>
      <c r="W212" s="34"/>
      <c r="X212" s="34"/>
      <c r="Y212" s="34"/>
      <c r="Z212" s="34"/>
      <c r="AA212" s="34"/>
    </row>
    <row r="213" spans="1:27" ht="15">
      <c r="A213" s="65" t="s">
        <v>225</v>
      </c>
      <c r="B213" s="65" t="s">
        <v>266</v>
      </c>
      <c r="C213" s="66" t="s">
        <v>2751</v>
      </c>
      <c r="D213" s="67">
        <v>3</v>
      </c>
      <c r="E213" s="68"/>
      <c r="F213" s="69">
        <v>50</v>
      </c>
      <c r="G213" s="66"/>
      <c r="H213" s="70"/>
      <c r="I213" s="71"/>
      <c r="J213" s="71"/>
      <c r="K213" s="34" t="s">
        <v>65</v>
      </c>
      <c r="L213" s="78">
        <v>213</v>
      </c>
      <c r="M213" s="78"/>
      <c r="N213" s="73"/>
      <c r="O213" s="89" t="s">
        <v>494</v>
      </c>
      <c r="P213">
        <v>1</v>
      </c>
      <c r="Q213" s="88" t="str">
        <f>REPLACE(INDEX(GroupVertices[Group],MATCH(Edges[[#This Row],[Vertex 1]],GroupVertices[Vertex],0)),1,1,"")</f>
        <v>1</v>
      </c>
      <c r="R213" s="88" t="str">
        <f>REPLACE(INDEX(GroupVertices[Group],MATCH(Edges[[#This Row],[Vertex 2]],GroupVertices[Vertex],0)),1,1,"")</f>
        <v>2</v>
      </c>
      <c r="S213" s="34"/>
      <c r="T213" s="34"/>
      <c r="U213" s="34"/>
      <c r="V213" s="34"/>
      <c r="W213" s="34"/>
      <c r="X213" s="34"/>
      <c r="Y213" s="34"/>
      <c r="Z213" s="34"/>
      <c r="AA213" s="34"/>
    </row>
    <row r="214" spans="1:27" ht="15">
      <c r="A214" s="65" t="s">
        <v>225</v>
      </c>
      <c r="B214" s="65" t="s">
        <v>365</v>
      </c>
      <c r="C214" s="66" t="s">
        <v>2751</v>
      </c>
      <c r="D214" s="67">
        <v>3</v>
      </c>
      <c r="E214" s="68"/>
      <c r="F214" s="69">
        <v>50</v>
      </c>
      <c r="G214" s="66"/>
      <c r="H214" s="70"/>
      <c r="I214" s="71"/>
      <c r="J214" s="71"/>
      <c r="K214" s="34" t="s">
        <v>65</v>
      </c>
      <c r="L214" s="78">
        <v>214</v>
      </c>
      <c r="M214" s="78"/>
      <c r="N214" s="73"/>
      <c r="O214" s="89" t="s">
        <v>494</v>
      </c>
      <c r="P214">
        <v>1</v>
      </c>
      <c r="Q214" s="88" t="str">
        <f>REPLACE(INDEX(GroupVertices[Group],MATCH(Edges[[#This Row],[Vertex 1]],GroupVertices[Vertex],0)),1,1,"")</f>
        <v>1</v>
      </c>
      <c r="R214" s="88" t="str">
        <f>REPLACE(INDEX(GroupVertices[Group],MATCH(Edges[[#This Row],[Vertex 2]],GroupVertices[Vertex],0)),1,1,"")</f>
        <v>1</v>
      </c>
      <c r="S214" s="34"/>
      <c r="T214" s="34"/>
      <c r="U214" s="34"/>
      <c r="V214" s="34"/>
      <c r="W214" s="34"/>
      <c r="X214" s="34"/>
      <c r="Y214" s="34"/>
      <c r="Z214" s="34"/>
      <c r="AA214" s="34"/>
    </row>
    <row r="215" spans="1:27" ht="15">
      <c r="A215" s="65" t="s">
        <v>225</v>
      </c>
      <c r="B215" s="65" t="s">
        <v>366</v>
      </c>
      <c r="C215" s="66" t="s">
        <v>2751</v>
      </c>
      <c r="D215" s="67">
        <v>3</v>
      </c>
      <c r="E215" s="68"/>
      <c r="F215" s="69">
        <v>50</v>
      </c>
      <c r="G215" s="66"/>
      <c r="H215" s="70"/>
      <c r="I215" s="71"/>
      <c r="J215" s="71"/>
      <c r="K215" s="34" t="s">
        <v>65</v>
      </c>
      <c r="L215" s="78">
        <v>215</v>
      </c>
      <c r="M215" s="78"/>
      <c r="N215" s="73"/>
      <c r="O215" s="89" t="s">
        <v>494</v>
      </c>
      <c r="P215">
        <v>1</v>
      </c>
      <c r="Q215" s="88" t="str">
        <f>REPLACE(INDEX(GroupVertices[Group],MATCH(Edges[[#This Row],[Vertex 1]],GroupVertices[Vertex],0)),1,1,"")</f>
        <v>1</v>
      </c>
      <c r="R215" s="88" t="str">
        <f>REPLACE(INDEX(GroupVertices[Group],MATCH(Edges[[#This Row],[Vertex 2]],GroupVertices[Vertex],0)),1,1,"")</f>
        <v>1</v>
      </c>
      <c r="S215" s="34"/>
      <c r="T215" s="34"/>
      <c r="U215" s="34"/>
      <c r="V215" s="34"/>
      <c r="W215" s="34"/>
      <c r="X215" s="34"/>
      <c r="Y215" s="34"/>
      <c r="Z215" s="34"/>
      <c r="AA215" s="34"/>
    </row>
    <row r="216" spans="1:27" ht="15">
      <c r="A216" s="65" t="s">
        <v>224</v>
      </c>
      <c r="B216" s="65" t="s">
        <v>367</v>
      </c>
      <c r="C216" s="66" t="s">
        <v>2751</v>
      </c>
      <c r="D216" s="67">
        <v>3</v>
      </c>
      <c r="E216" s="68"/>
      <c r="F216" s="69">
        <v>50</v>
      </c>
      <c r="G216" s="66"/>
      <c r="H216" s="70"/>
      <c r="I216" s="71"/>
      <c r="J216" s="71"/>
      <c r="K216" s="34" t="s">
        <v>65</v>
      </c>
      <c r="L216" s="78">
        <v>216</v>
      </c>
      <c r="M216" s="78"/>
      <c r="N216" s="73"/>
      <c r="O216" s="89" t="s">
        <v>494</v>
      </c>
      <c r="P216">
        <v>1</v>
      </c>
      <c r="Q216" s="88" t="str">
        <f>REPLACE(INDEX(GroupVertices[Group],MATCH(Edges[[#This Row],[Vertex 1]],GroupVertices[Vertex],0)),1,1,"")</f>
        <v>2</v>
      </c>
      <c r="R216" s="88" t="str">
        <f>REPLACE(INDEX(GroupVertices[Group],MATCH(Edges[[#This Row],[Vertex 2]],GroupVertices[Vertex],0)),1,1,"")</f>
        <v>1</v>
      </c>
      <c r="S216" s="34"/>
      <c r="T216" s="34"/>
      <c r="U216" s="34"/>
      <c r="V216" s="34"/>
      <c r="W216" s="34"/>
      <c r="X216" s="34"/>
      <c r="Y216" s="34"/>
      <c r="Z216" s="34"/>
      <c r="AA216" s="34"/>
    </row>
    <row r="217" spans="1:27" ht="15">
      <c r="A217" s="65" t="s">
        <v>224</v>
      </c>
      <c r="B217" s="65" t="s">
        <v>322</v>
      </c>
      <c r="C217" s="66" t="s">
        <v>2751</v>
      </c>
      <c r="D217" s="67">
        <v>3</v>
      </c>
      <c r="E217" s="68"/>
      <c r="F217" s="69">
        <v>50</v>
      </c>
      <c r="G217" s="66"/>
      <c r="H217" s="70"/>
      <c r="I217" s="71"/>
      <c r="J217" s="71"/>
      <c r="K217" s="34" t="s">
        <v>65</v>
      </c>
      <c r="L217" s="78">
        <v>217</v>
      </c>
      <c r="M217" s="78"/>
      <c r="N217" s="73"/>
      <c r="O217" s="89" t="s">
        <v>494</v>
      </c>
      <c r="P217">
        <v>1</v>
      </c>
      <c r="Q217" s="88" t="str">
        <f>REPLACE(INDEX(GroupVertices[Group],MATCH(Edges[[#This Row],[Vertex 1]],GroupVertices[Vertex],0)),1,1,"")</f>
        <v>2</v>
      </c>
      <c r="R217" s="88" t="str">
        <f>REPLACE(INDEX(GroupVertices[Group],MATCH(Edges[[#This Row],[Vertex 2]],GroupVertices[Vertex],0)),1,1,"")</f>
        <v>2</v>
      </c>
      <c r="S217" s="34"/>
      <c r="T217" s="34"/>
      <c r="U217" s="34"/>
      <c r="V217" s="34"/>
      <c r="W217" s="34"/>
      <c r="X217" s="34"/>
      <c r="Y217" s="34"/>
      <c r="Z217" s="34"/>
      <c r="AA217" s="34"/>
    </row>
    <row r="218" spans="1:27" ht="15">
      <c r="A218" s="65" t="s">
        <v>224</v>
      </c>
      <c r="B218" s="65" t="s">
        <v>368</v>
      </c>
      <c r="C218" s="66" t="s">
        <v>2751</v>
      </c>
      <c r="D218" s="67">
        <v>3</v>
      </c>
      <c r="E218" s="68"/>
      <c r="F218" s="69">
        <v>50</v>
      </c>
      <c r="G218" s="66"/>
      <c r="H218" s="70"/>
      <c r="I218" s="71"/>
      <c r="J218" s="71"/>
      <c r="K218" s="34" t="s">
        <v>65</v>
      </c>
      <c r="L218" s="78">
        <v>218</v>
      </c>
      <c r="M218" s="78"/>
      <c r="N218" s="73"/>
      <c r="O218" s="89" t="s">
        <v>494</v>
      </c>
      <c r="P218">
        <v>1</v>
      </c>
      <c r="Q218" s="88" t="str">
        <f>REPLACE(INDEX(GroupVertices[Group],MATCH(Edges[[#This Row],[Vertex 1]],GroupVertices[Vertex],0)),1,1,"")</f>
        <v>2</v>
      </c>
      <c r="R218" s="88" t="str">
        <f>REPLACE(INDEX(GroupVertices[Group],MATCH(Edges[[#This Row],[Vertex 2]],GroupVertices[Vertex],0)),1,1,"")</f>
        <v>1</v>
      </c>
      <c r="S218" s="34"/>
      <c r="T218" s="34"/>
      <c r="U218" s="34"/>
      <c r="V218" s="34"/>
      <c r="W218" s="34"/>
      <c r="X218" s="34"/>
      <c r="Y218" s="34"/>
      <c r="Z218" s="34"/>
      <c r="AA218" s="34"/>
    </row>
    <row r="219" spans="1:27" ht="15">
      <c r="A219" s="65" t="s">
        <v>224</v>
      </c>
      <c r="B219" s="65" t="s">
        <v>228</v>
      </c>
      <c r="C219" s="66" t="s">
        <v>2751</v>
      </c>
      <c r="D219" s="67">
        <v>3</v>
      </c>
      <c r="E219" s="68"/>
      <c r="F219" s="69">
        <v>50</v>
      </c>
      <c r="G219" s="66"/>
      <c r="H219" s="70"/>
      <c r="I219" s="71"/>
      <c r="J219" s="71"/>
      <c r="K219" s="34" t="s">
        <v>65</v>
      </c>
      <c r="L219" s="78">
        <v>219</v>
      </c>
      <c r="M219" s="78"/>
      <c r="N219" s="73"/>
      <c r="O219" s="89" t="s">
        <v>494</v>
      </c>
      <c r="P219">
        <v>1</v>
      </c>
      <c r="Q219" s="88" t="str">
        <f>REPLACE(INDEX(GroupVertices[Group],MATCH(Edges[[#This Row],[Vertex 1]],GroupVertices[Vertex],0)),1,1,"")</f>
        <v>2</v>
      </c>
      <c r="R219" s="88" t="str">
        <f>REPLACE(INDEX(GroupVertices[Group],MATCH(Edges[[#This Row],[Vertex 2]],GroupVertices[Vertex],0)),1,1,"")</f>
        <v>9</v>
      </c>
      <c r="S219" s="34"/>
      <c r="T219" s="34"/>
      <c r="U219" s="34"/>
      <c r="V219" s="34"/>
      <c r="W219" s="34"/>
      <c r="X219" s="34"/>
      <c r="Y219" s="34"/>
      <c r="Z219" s="34"/>
      <c r="AA219" s="34"/>
    </row>
    <row r="220" spans="1:27" ht="15">
      <c r="A220" s="65" t="s">
        <v>224</v>
      </c>
      <c r="B220" s="65" t="s">
        <v>319</v>
      </c>
      <c r="C220" s="66" t="s">
        <v>2751</v>
      </c>
      <c r="D220" s="67">
        <v>3</v>
      </c>
      <c r="E220" s="68"/>
      <c r="F220" s="69">
        <v>50</v>
      </c>
      <c r="G220" s="66"/>
      <c r="H220" s="70"/>
      <c r="I220" s="71"/>
      <c r="J220" s="71"/>
      <c r="K220" s="34" t="s">
        <v>65</v>
      </c>
      <c r="L220" s="78">
        <v>220</v>
      </c>
      <c r="M220" s="78"/>
      <c r="N220" s="73"/>
      <c r="O220" s="89" t="s">
        <v>494</v>
      </c>
      <c r="P220">
        <v>1</v>
      </c>
      <c r="Q220" s="88" t="str">
        <f>REPLACE(INDEX(GroupVertices[Group],MATCH(Edges[[#This Row],[Vertex 1]],GroupVertices[Vertex],0)),1,1,"")</f>
        <v>2</v>
      </c>
      <c r="R220" s="88" t="str">
        <f>REPLACE(INDEX(GroupVertices[Group],MATCH(Edges[[#This Row],[Vertex 2]],GroupVertices[Vertex],0)),1,1,"")</f>
        <v>2</v>
      </c>
      <c r="S220" s="34"/>
      <c r="T220" s="34"/>
      <c r="U220" s="34"/>
      <c r="V220" s="34"/>
      <c r="W220" s="34"/>
      <c r="X220" s="34"/>
      <c r="Y220" s="34"/>
      <c r="Z220" s="34"/>
      <c r="AA220" s="34"/>
    </row>
    <row r="221" spans="1:27" ht="15">
      <c r="A221" s="65" t="s">
        <v>224</v>
      </c>
      <c r="B221" s="65" t="s">
        <v>309</v>
      </c>
      <c r="C221" s="66" t="s">
        <v>2751</v>
      </c>
      <c r="D221" s="67">
        <v>3</v>
      </c>
      <c r="E221" s="68"/>
      <c r="F221" s="69">
        <v>50</v>
      </c>
      <c r="G221" s="66"/>
      <c r="H221" s="70"/>
      <c r="I221" s="71"/>
      <c r="J221" s="71"/>
      <c r="K221" s="34" t="s">
        <v>65</v>
      </c>
      <c r="L221" s="78">
        <v>221</v>
      </c>
      <c r="M221" s="78"/>
      <c r="N221" s="73"/>
      <c r="O221" s="89" t="s">
        <v>494</v>
      </c>
      <c r="P221">
        <v>1</v>
      </c>
      <c r="Q221" s="88" t="str">
        <f>REPLACE(INDEX(GroupVertices[Group],MATCH(Edges[[#This Row],[Vertex 1]],GroupVertices[Vertex],0)),1,1,"")</f>
        <v>2</v>
      </c>
      <c r="R221" s="88" t="str">
        <f>REPLACE(INDEX(GroupVertices[Group],MATCH(Edges[[#This Row],[Vertex 2]],GroupVertices[Vertex],0)),1,1,"")</f>
        <v>1</v>
      </c>
      <c r="S221" s="34"/>
      <c r="T221" s="34"/>
      <c r="U221" s="34"/>
      <c r="V221" s="34"/>
      <c r="W221" s="34"/>
      <c r="X221" s="34"/>
      <c r="Y221" s="34"/>
      <c r="Z221" s="34"/>
      <c r="AA221" s="34"/>
    </row>
    <row r="222" spans="1:27" ht="15">
      <c r="A222" s="65" t="s">
        <v>224</v>
      </c>
      <c r="B222" s="65" t="s">
        <v>265</v>
      </c>
      <c r="C222" s="66" t="s">
        <v>2751</v>
      </c>
      <c r="D222" s="67">
        <v>3</v>
      </c>
      <c r="E222" s="68"/>
      <c r="F222" s="69">
        <v>50</v>
      </c>
      <c r="G222" s="66"/>
      <c r="H222" s="70"/>
      <c r="I222" s="71"/>
      <c r="J222" s="71"/>
      <c r="K222" s="34" t="s">
        <v>65</v>
      </c>
      <c r="L222" s="78">
        <v>222</v>
      </c>
      <c r="M222" s="78"/>
      <c r="N222" s="73"/>
      <c r="O222" s="89" t="s">
        <v>494</v>
      </c>
      <c r="P222">
        <v>1</v>
      </c>
      <c r="Q222" s="88" t="str">
        <f>REPLACE(INDEX(GroupVertices[Group],MATCH(Edges[[#This Row],[Vertex 1]],GroupVertices[Vertex],0)),1,1,"")</f>
        <v>2</v>
      </c>
      <c r="R222" s="88" t="str">
        <f>REPLACE(INDEX(GroupVertices[Group],MATCH(Edges[[#This Row],[Vertex 2]],GroupVertices[Vertex],0)),1,1,"")</f>
        <v>5</v>
      </c>
      <c r="S222" s="34"/>
      <c r="T222" s="34"/>
      <c r="U222" s="34"/>
      <c r="V222" s="34"/>
      <c r="W222" s="34"/>
      <c r="X222" s="34"/>
      <c r="Y222" s="34"/>
      <c r="Z222" s="34"/>
      <c r="AA222" s="34"/>
    </row>
    <row r="223" spans="1:27" ht="15">
      <c r="A223" s="65" t="s">
        <v>224</v>
      </c>
      <c r="B223" s="65" t="s">
        <v>262</v>
      </c>
      <c r="C223" s="66" t="s">
        <v>2751</v>
      </c>
      <c r="D223" s="67">
        <v>3</v>
      </c>
      <c r="E223" s="68"/>
      <c r="F223" s="69">
        <v>50</v>
      </c>
      <c r="G223" s="66"/>
      <c r="H223" s="70"/>
      <c r="I223" s="71"/>
      <c r="J223" s="71"/>
      <c r="K223" s="34" t="s">
        <v>65</v>
      </c>
      <c r="L223" s="78">
        <v>223</v>
      </c>
      <c r="M223" s="78"/>
      <c r="N223" s="73"/>
      <c r="O223" s="89" t="s">
        <v>494</v>
      </c>
      <c r="P223">
        <v>1</v>
      </c>
      <c r="Q223" s="88" t="str">
        <f>REPLACE(INDEX(GroupVertices[Group],MATCH(Edges[[#This Row],[Vertex 1]],GroupVertices[Vertex],0)),1,1,"")</f>
        <v>2</v>
      </c>
      <c r="R223" s="88" t="str">
        <f>REPLACE(INDEX(GroupVertices[Group],MATCH(Edges[[#This Row],[Vertex 2]],GroupVertices[Vertex],0)),1,1,"")</f>
        <v>2</v>
      </c>
      <c r="S223" s="34"/>
      <c r="T223" s="34"/>
      <c r="U223" s="34"/>
      <c r="V223" s="34"/>
      <c r="W223" s="34"/>
      <c r="X223" s="34"/>
      <c r="Y223" s="34"/>
      <c r="Z223" s="34"/>
      <c r="AA223" s="34"/>
    </row>
    <row r="224" spans="1:27" ht="15">
      <c r="A224" s="65" t="s">
        <v>224</v>
      </c>
      <c r="B224" s="65" t="s">
        <v>315</v>
      </c>
      <c r="C224" s="66" t="s">
        <v>2751</v>
      </c>
      <c r="D224" s="67">
        <v>3</v>
      </c>
      <c r="E224" s="68"/>
      <c r="F224" s="69">
        <v>50</v>
      </c>
      <c r="G224" s="66"/>
      <c r="H224" s="70"/>
      <c r="I224" s="71"/>
      <c r="J224" s="71"/>
      <c r="K224" s="34" t="s">
        <v>65</v>
      </c>
      <c r="L224" s="78">
        <v>224</v>
      </c>
      <c r="M224" s="78"/>
      <c r="N224" s="73"/>
      <c r="O224" s="89" t="s">
        <v>494</v>
      </c>
      <c r="P224">
        <v>1</v>
      </c>
      <c r="Q224" s="88" t="str">
        <f>REPLACE(INDEX(GroupVertices[Group],MATCH(Edges[[#This Row],[Vertex 1]],GroupVertices[Vertex],0)),1,1,"")</f>
        <v>2</v>
      </c>
      <c r="R224" s="88" t="str">
        <f>REPLACE(INDEX(GroupVertices[Group],MATCH(Edges[[#This Row],[Vertex 2]],GroupVertices[Vertex],0)),1,1,"")</f>
        <v>2</v>
      </c>
      <c r="S224" s="34"/>
      <c r="T224" s="34"/>
      <c r="U224" s="34"/>
      <c r="V224" s="34"/>
      <c r="W224" s="34"/>
      <c r="X224" s="34"/>
      <c r="Y224" s="34"/>
      <c r="Z224" s="34"/>
      <c r="AA224" s="34"/>
    </row>
    <row r="225" spans="1:27" ht="15">
      <c r="A225" s="65" t="s">
        <v>224</v>
      </c>
      <c r="B225" s="65" t="s">
        <v>222</v>
      </c>
      <c r="C225" s="66" t="s">
        <v>2751</v>
      </c>
      <c r="D225" s="67">
        <v>3</v>
      </c>
      <c r="E225" s="68"/>
      <c r="F225" s="69">
        <v>50</v>
      </c>
      <c r="G225" s="66"/>
      <c r="H225" s="70"/>
      <c r="I225" s="71"/>
      <c r="J225" s="71"/>
      <c r="K225" s="34" t="s">
        <v>65</v>
      </c>
      <c r="L225" s="78">
        <v>225</v>
      </c>
      <c r="M225" s="78"/>
      <c r="N225" s="73"/>
      <c r="O225" s="89" t="s">
        <v>494</v>
      </c>
      <c r="P225">
        <v>1</v>
      </c>
      <c r="Q225" s="88" t="str">
        <f>REPLACE(INDEX(GroupVertices[Group],MATCH(Edges[[#This Row],[Vertex 1]],GroupVertices[Vertex],0)),1,1,"")</f>
        <v>2</v>
      </c>
      <c r="R225" s="88" t="str">
        <f>REPLACE(INDEX(GroupVertices[Group],MATCH(Edges[[#This Row],[Vertex 2]],GroupVertices[Vertex],0)),1,1,"")</f>
        <v>2</v>
      </c>
      <c r="S225" s="34"/>
      <c r="T225" s="34"/>
      <c r="U225" s="34"/>
      <c r="V225" s="34"/>
      <c r="W225" s="34"/>
      <c r="X225" s="34"/>
      <c r="Y225" s="34"/>
      <c r="Z225" s="34"/>
      <c r="AA225" s="34"/>
    </row>
    <row r="226" spans="1:27" ht="15">
      <c r="A226" s="65" t="s">
        <v>225</v>
      </c>
      <c r="B226" s="65" t="s">
        <v>224</v>
      </c>
      <c r="C226" s="66" t="s">
        <v>2751</v>
      </c>
      <c r="D226" s="67">
        <v>3</v>
      </c>
      <c r="E226" s="68"/>
      <c r="F226" s="69">
        <v>50</v>
      </c>
      <c r="G226" s="66"/>
      <c r="H226" s="70"/>
      <c r="I226" s="71"/>
      <c r="J226" s="71"/>
      <c r="K226" s="34" t="s">
        <v>65</v>
      </c>
      <c r="L226" s="78">
        <v>226</v>
      </c>
      <c r="M226" s="78"/>
      <c r="N226" s="73"/>
      <c r="O226" s="89" t="s">
        <v>494</v>
      </c>
      <c r="P226">
        <v>1</v>
      </c>
      <c r="Q226" s="88" t="str">
        <f>REPLACE(INDEX(GroupVertices[Group],MATCH(Edges[[#This Row],[Vertex 1]],GroupVertices[Vertex],0)),1,1,"")</f>
        <v>1</v>
      </c>
      <c r="R226" s="88" t="str">
        <f>REPLACE(INDEX(GroupVertices[Group],MATCH(Edges[[#This Row],[Vertex 2]],GroupVertices[Vertex],0)),1,1,"")</f>
        <v>2</v>
      </c>
      <c r="S226" s="34"/>
      <c r="T226" s="34"/>
      <c r="U226" s="34"/>
      <c r="V226" s="34"/>
      <c r="W226" s="34"/>
      <c r="X226" s="34"/>
      <c r="Y226" s="34"/>
      <c r="Z226" s="34"/>
      <c r="AA226" s="34"/>
    </row>
    <row r="227" spans="1:27" ht="15">
      <c r="A227" s="65" t="s">
        <v>225</v>
      </c>
      <c r="B227" s="65" t="s">
        <v>369</v>
      </c>
      <c r="C227" s="66" t="s">
        <v>2751</v>
      </c>
      <c r="D227" s="67">
        <v>3</v>
      </c>
      <c r="E227" s="68"/>
      <c r="F227" s="69">
        <v>50</v>
      </c>
      <c r="G227" s="66"/>
      <c r="H227" s="70"/>
      <c r="I227" s="71"/>
      <c r="J227" s="71"/>
      <c r="K227" s="34" t="s">
        <v>65</v>
      </c>
      <c r="L227" s="78">
        <v>227</v>
      </c>
      <c r="M227" s="78"/>
      <c r="N227" s="73"/>
      <c r="O227" s="89" t="s">
        <v>494</v>
      </c>
      <c r="P227">
        <v>1</v>
      </c>
      <c r="Q227" s="88" t="str">
        <f>REPLACE(INDEX(GroupVertices[Group],MATCH(Edges[[#This Row],[Vertex 1]],GroupVertices[Vertex],0)),1,1,"")</f>
        <v>1</v>
      </c>
      <c r="R227" s="88" t="str">
        <f>REPLACE(INDEX(GroupVertices[Group],MATCH(Edges[[#This Row],[Vertex 2]],GroupVertices[Vertex],0)),1,1,"")</f>
        <v>1</v>
      </c>
      <c r="S227" s="34"/>
      <c r="T227" s="34"/>
      <c r="U227" s="34"/>
      <c r="V227" s="34"/>
      <c r="W227" s="34"/>
      <c r="X227" s="34"/>
      <c r="Y227" s="34"/>
      <c r="Z227" s="34"/>
      <c r="AA227" s="34"/>
    </row>
    <row r="228" spans="1:27" ht="15">
      <c r="A228" s="65" t="s">
        <v>222</v>
      </c>
      <c r="B228" s="65" t="s">
        <v>259</v>
      </c>
      <c r="C228" s="66" t="s">
        <v>2751</v>
      </c>
      <c r="D228" s="67">
        <v>3</v>
      </c>
      <c r="E228" s="68"/>
      <c r="F228" s="69">
        <v>50</v>
      </c>
      <c r="G228" s="66"/>
      <c r="H228" s="70"/>
      <c r="I228" s="71"/>
      <c r="J228" s="71"/>
      <c r="K228" s="34" t="s">
        <v>65</v>
      </c>
      <c r="L228" s="78">
        <v>228</v>
      </c>
      <c r="M228" s="78"/>
      <c r="N228" s="73"/>
      <c r="O228" s="89" t="s">
        <v>494</v>
      </c>
      <c r="P228">
        <v>1</v>
      </c>
      <c r="Q228" s="88" t="str">
        <f>REPLACE(INDEX(GroupVertices[Group],MATCH(Edges[[#This Row],[Vertex 1]],GroupVertices[Vertex],0)),1,1,"")</f>
        <v>2</v>
      </c>
      <c r="R228" s="88" t="str">
        <f>REPLACE(INDEX(GroupVertices[Group],MATCH(Edges[[#This Row],[Vertex 2]],GroupVertices[Vertex],0)),1,1,"")</f>
        <v>2</v>
      </c>
      <c r="S228" s="34"/>
      <c r="T228" s="34"/>
      <c r="U228" s="34"/>
      <c r="V228" s="34"/>
      <c r="W228" s="34"/>
      <c r="X228" s="34"/>
      <c r="Y228" s="34"/>
      <c r="Z228" s="34"/>
      <c r="AA228" s="34"/>
    </row>
    <row r="229" spans="1:27" ht="15">
      <c r="A229" s="65" t="s">
        <v>225</v>
      </c>
      <c r="B229" s="65" t="s">
        <v>259</v>
      </c>
      <c r="C229" s="66" t="s">
        <v>2751</v>
      </c>
      <c r="D229" s="67">
        <v>3</v>
      </c>
      <c r="E229" s="68"/>
      <c r="F229" s="69">
        <v>50</v>
      </c>
      <c r="G229" s="66"/>
      <c r="H229" s="70"/>
      <c r="I229" s="71"/>
      <c r="J229" s="71"/>
      <c r="K229" s="34" t="s">
        <v>65</v>
      </c>
      <c r="L229" s="78">
        <v>229</v>
      </c>
      <c r="M229" s="78"/>
      <c r="N229" s="73"/>
      <c r="O229" s="89" t="s">
        <v>494</v>
      </c>
      <c r="P229">
        <v>1</v>
      </c>
      <c r="Q229" s="88" t="str">
        <f>REPLACE(INDEX(GroupVertices[Group],MATCH(Edges[[#This Row],[Vertex 1]],GroupVertices[Vertex],0)),1,1,"")</f>
        <v>1</v>
      </c>
      <c r="R229" s="88" t="str">
        <f>REPLACE(INDEX(GroupVertices[Group],MATCH(Edges[[#This Row],[Vertex 2]],GroupVertices[Vertex],0)),1,1,"")</f>
        <v>2</v>
      </c>
      <c r="S229" s="34"/>
      <c r="T229" s="34"/>
      <c r="U229" s="34"/>
      <c r="V229" s="34"/>
      <c r="W229" s="34"/>
      <c r="X229" s="34"/>
      <c r="Y229" s="34"/>
      <c r="Z229" s="34"/>
      <c r="AA229" s="34"/>
    </row>
    <row r="230" spans="1:27" ht="15">
      <c r="A230" s="65" t="s">
        <v>225</v>
      </c>
      <c r="B230" s="65" t="s">
        <v>257</v>
      </c>
      <c r="C230" s="66" t="s">
        <v>2751</v>
      </c>
      <c r="D230" s="67">
        <v>3</v>
      </c>
      <c r="E230" s="68"/>
      <c r="F230" s="69">
        <v>50</v>
      </c>
      <c r="G230" s="66"/>
      <c r="H230" s="70"/>
      <c r="I230" s="71"/>
      <c r="J230" s="71"/>
      <c r="K230" s="34" t="s">
        <v>65</v>
      </c>
      <c r="L230" s="78">
        <v>230</v>
      </c>
      <c r="M230" s="78"/>
      <c r="N230" s="73"/>
      <c r="O230" s="89" t="s">
        <v>494</v>
      </c>
      <c r="P230">
        <v>1</v>
      </c>
      <c r="Q230" s="88" t="str">
        <f>REPLACE(INDEX(GroupVertices[Group],MATCH(Edges[[#This Row],[Vertex 1]],GroupVertices[Vertex],0)),1,1,"")</f>
        <v>1</v>
      </c>
      <c r="R230" s="88" t="str">
        <f>REPLACE(INDEX(GroupVertices[Group],MATCH(Edges[[#This Row],[Vertex 2]],GroupVertices[Vertex],0)),1,1,"")</f>
        <v>2</v>
      </c>
      <c r="S230" s="34"/>
      <c r="T230" s="34"/>
      <c r="U230" s="34"/>
      <c r="V230" s="34"/>
      <c r="W230" s="34"/>
      <c r="X230" s="34"/>
      <c r="Y230" s="34"/>
      <c r="Z230" s="34"/>
      <c r="AA230" s="34"/>
    </row>
    <row r="231" spans="1:27" ht="15">
      <c r="A231" s="65" t="s">
        <v>225</v>
      </c>
      <c r="B231" s="65" t="s">
        <v>370</v>
      </c>
      <c r="C231" s="66" t="s">
        <v>2751</v>
      </c>
      <c r="D231" s="67">
        <v>3</v>
      </c>
      <c r="E231" s="68"/>
      <c r="F231" s="69">
        <v>50</v>
      </c>
      <c r="G231" s="66"/>
      <c r="H231" s="70"/>
      <c r="I231" s="71"/>
      <c r="J231" s="71"/>
      <c r="K231" s="34" t="s">
        <v>65</v>
      </c>
      <c r="L231" s="78">
        <v>231</v>
      </c>
      <c r="M231" s="78"/>
      <c r="N231" s="73"/>
      <c r="O231" s="89" t="s">
        <v>494</v>
      </c>
      <c r="P231">
        <v>1</v>
      </c>
      <c r="Q231" s="88" t="str">
        <f>REPLACE(INDEX(GroupVertices[Group],MATCH(Edges[[#This Row],[Vertex 1]],GroupVertices[Vertex],0)),1,1,"")</f>
        <v>1</v>
      </c>
      <c r="R231" s="88" t="str">
        <f>REPLACE(INDEX(GroupVertices[Group],MATCH(Edges[[#This Row],[Vertex 2]],GroupVertices[Vertex],0)),1,1,"")</f>
        <v>1</v>
      </c>
      <c r="S231" s="34"/>
      <c r="T231" s="34"/>
      <c r="U231" s="34"/>
      <c r="V231" s="34"/>
      <c r="W231" s="34"/>
      <c r="X231" s="34"/>
      <c r="Y231" s="34"/>
      <c r="Z231" s="34"/>
      <c r="AA231" s="34"/>
    </row>
    <row r="232" spans="1:27" ht="15">
      <c r="A232" s="65" t="s">
        <v>225</v>
      </c>
      <c r="B232" s="65" t="s">
        <v>367</v>
      </c>
      <c r="C232" s="66" t="s">
        <v>2751</v>
      </c>
      <c r="D232" s="67">
        <v>3</v>
      </c>
      <c r="E232" s="68"/>
      <c r="F232" s="69">
        <v>50</v>
      </c>
      <c r="G232" s="66"/>
      <c r="H232" s="70"/>
      <c r="I232" s="71"/>
      <c r="J232" s="71"/>
      <c r="K232" s="34" t="s">
        <v>65</v>
      </c>
      <c r="L232" s="78">
        <v>232</v>
      </c>
      <c r="M232" s="78"/>
      <c r="N232" s="73"/>
      <c r="O232" s="89" t="s">
        <v>494</v>
      </c>
      <c r="P232">
        <v>1</v>
      </c>
      <c r="Q232" s="88" t="str">
        <f>REPLACE(INDEX(GroupVertices[Group],MATCH(Edges[[#This Row],[Vertex 1]],GroupVertices[Vertex],0)),1,1,"")</f>
        <v>1</v>
      </c>
      <c r="R232" s="88" t="str">
        <f>REPLACE(INDEX(GroupVertices[Group],MATCH(Edges[[#This Row],[Vertex 2]],GroupVertices[Vertex],0)),1,1,"")</f>
        <v>1</v>
      </c>
      <c r="S232" s="34"/>
      <c r="T232" s="34"/>
      <c r="U232" s="34"/>
      <c r="V232" s="34"/>
      <c r="W232" s="34"/>
      <c r="X232" s="34"/>
      <c r="Y232" s="34"/>
      <c r="Z232" s="34"/>
      <c r="AA232" s="34"/>
    </row>
    <row r="233" spans="1:27" ht="15">
      <c r="A233" s="65" t="s">
        <v>225</v>
      </c>
      <c r="B233" s="65" t="s">
        <v>371</v>
      </c>
      <c r="C233" s="66" t="s">
        <v>2751</v>
      </c>
      <c r="D233" s="67">
        <v>3</v>
      </c>
      <c r="E233" s="68"/>
      <c r="F233" s="69">
        <v>50</v>
      </c>
      <c r="G233" s="66"/>
      <c r="H233" s="70"/>
      <c r="I233" s="71"/>
      <c r="J233" s="71"/>
      <c r="K233" s="34" t="s">
        <v>65</v>
      </c>
      <c r="L233" s="78">
        <v>233</v>
      </c>
      <c r="M233" s="78"/>
      <c r="N233" s="73"/>
      <c r="O233" s="89" t="s">
        <v>494</v>
      </c>
      <c r="P233">
        <v>1</v>
      </c>
      <c r="Q233" s="88" t="str">
        <f>REPLACE(INDEX(GroupVertices[Group],MATCH(Edges[[#This Row],[Vertex 1]],GroupVertices[Vertex],0)),1,1,"")</f>
        <v>1</v>
      </c>
      <c r="R233" s="88" t="str">
        <f>REPLACE(INDEX(GroupVertices[Group],MATCH(Edges[[#This Row],[Vertex 2]],GroupVertices[Vertex],0)),1,1,"")</f>
        <v>1</v>
      </c>
      <c r="S233" s="34"/>
      <c r="T233" s="34"/>
      <c r="U233" s="34"/>
      <c r="V233" s="34"/>
      <c r="W233" s="34"/>
      <c r="X233" s="34"/>
      <c r="Y233" s="34"/>
      <c r="Z233" s="34"/>
      <c r="AA233" s="34"/>
    </row>
    <row r="234" spans="1:27" ht="15">
      <c r="A234" s="65" t="s">
        <v>225</v>
      </c>
      <c r="B234" s="65" t="s">
        <v>315</v>
      </c>
      <c r="C234" s="66" t="s">
        <v>2751</v>
      </c>
      <c r="D234" s="67">
        <v>3</v>
      </c>
      <c r="E234" s="68"/>
      <c r="F234" s="69">
        <v>50</v>
      </c>
      <c r="G234" s="66"/>
      <c r="H234" s="70"/>
      <c r="I234" s="71"/>
      <c r="J234" s="71"/>
      <c r="K234" s="34" t="s">
        <v>65</v>
      </c>
      <c r="L234" s="78">
        <v>234</v>
      </c>
      <c r="M234" s="78"/>
      <c r="N234" s="73"/>
      <c r="O234" s="89" t="s">
        <v>494</v>
      </c>
      <c r="P234">
        <v>1</v>
      </c>
      <c r="Q234" s="88" t="str">
        <f>REPLACE(INDEX(GroupVertices[Group],MATCH(Edges[[#This Row],[Vertex 1]],GroupVertices[Vertex],0)),1,1,"")</f>
        <v>1</v>
      </c>
      <c r="R234" s="88" t="str">
        <f>REPLACE(INDEX(GroupVertices[Group],MATCH(Edges[[#This Row],[Vertex 2]],GroupVertices[Vertex],0)),1,1,"")</f>
        <v>2</v>
      </c>
      <c r="S234" s="34"/>
      <c r="T234" s="34"/>
      <c r="U234" s="34"/>
      <c r="V234" s="34"/>
      <c r="W234" s="34"/>
      <c r="X234" s="34"/>
      <c r="Y234" s="34"/>
      <c r="Z234" s="34"/>
      <c r="AA234" s="34"/>
    </row>
    <row r="235" spans="1:27" ht="15">
      <c r="A235" s="65" t="s">
        <v>225</v>
      </c>
      <c r="B235" s="65" t="s">
        <v>265</v>
      </c>
      <c r="C235" s="66" t="s">
        <v>2751</v>
      </c>
      <c r="D235" s="67">
        <v>3</v>
      </c>
      <c r="E235" s="68"/>
      <c r="F235" s="69">
        <v>50</v>
      </c>
      <c r="G235" s="66"/>
      <c r="H235" s="70"/>
      <c r="I235" s="71"/>
      <c r="J235" s="71"/>
      <c r="K235" s="34" t="s">
        <v>65</v>
      </c>
      <c r="L235" s="78">
        <v>235</v>
      </c>
      <c r="M235" s="78"/>
      <c r="N235" s="73"/>
      <c r="O235" s="89" t="s">
        <v>494</v>
      </c>
      <c r="P235">
        <v>1</v>
      </c>
      <c r="Q235" s="88" t="str">
        <f>REPLACE(INDEX(GroupVertices[Group],MATCH(Edges[[#This Row],[Vertex 1]],GroupVertices[Vertex],0)),1,1,"")</f>
        <v>1</v>
      </c>
      <c r="R235" s="88" t="str">
        <f>REPLACE(INDEX(GroupVertices[Group],MATCH(Edges[[#This Row],[Vertex 2]],GroupVertices[Vertex],0)),1,1,"")</f>
        <v>5</v>
      </c>
      <c r="S235" s="34"/>
      <c r="T235" s="34"/>
      <c r="U235" s="34"/>
      <c r="V235" s="34"/>
      <c r="W235" s="34"/>
      <c r="X235" s="34"/>
      <c r="Y235" s="34"/>
      <c r="Z235" s="34"/>
      <c r="AA235" s="34"/>
    </row>
    <row r="236" spans="1:27" ht="15">
      <c r="A236" s="65" t="s">
        <v>226</v>
      </c>
      <c r="B236" s="65" t="s">
        <v>372</v>
      </c>
      <c r="C236" s="66" t="s">
        <v>2751</v>
      </c>
      <c r="D236" s="67">
        <v>3</v>
      </c>
      <c r="E236" s="68"/>
      <c r="F236" s="69">
        <v>50</v>
      </c>
      <c r="G236" s="66"/>
      <c r="H236" s="70"/>
      <c r="I236" s="71"/>
      <c r="J236" s="71"/>
      <c r="K236" s="34" t="s">
        <v>65</v>
      </c>
      <c r="L236" s="78">
        <v>236</v>
      </c>
      <c r="M236" s="78"/>
      <c r="N236" s="73"/>
      <c r="O236" s="89" t="s">
        <v>494</v>
      </c>
      <c r="P236">
        <v>1</v>
      </c>
      <c r="Q236" s="88" t="str">
        <f>REPLACE(INDEX(GroupVertices[Group],MATCH(Edges[[#This Row],[Vertex 1]],GroupVertices[Vertex],0)),1,1,"")</f>
        <v>1</v>
      </c>
      <c r="R236" s="88" t="str">
        <f>REPLACE(INDEX(GroupVertices[Group],MATCH(Edges[[#This Row],[Vertex 2]],GroupVertices[Vertex],0)),1,1,"")</f>
        <v>1</v>
      </c>
      <c r="S236" s="34"/>
      <c r="T236" s="34"/>
      <c r="U236" s="34"/>
      <c r="V236" s="34"/>
      <c r="W236" s="34"/>
      <c r="X236" s="34"/>
      <c r="Y236" s="34"/>
      <c r="Z236" s="34"/>
      <c r="AA236" s="34"/>
    </row>
    <row r="237" spans="1:27" ht="15">
      <c r="A237" s="65" t="s">
        <v>226</v>
      </c>
      <c r="B237" s="65" t="s">
        <v>373</v>
      </c>
      <c r="C237" s="66" t="s">
        <v>2751</v>
      </c>
      <c r="D237" s="67">
        <v>3</v>
      </c>
      <c r="E237" s="68"/>
      <c r="F237" s="69">
        <v>50</v>
      </c>
      <c r="G237" s="66"/>
      <c r="H237" s="70"/>
      <c r="I237" s="71"/>
      <c r="J237" s="71"/>
      <c r="K237" s="34" t="s">
        <v>65</v>
      </c>
      <c r="L237" s="78">
        <v>237</v>
      </c>
      <c r="M237" s="78"/>
      <c r="N237" s="73"/>
      <c r="O237" s="89" t="s">
        <v>494</v>
      </c>
      <c r="P237">
        <v>1</v>
      </c>
      <c r="Q237" s="88" t="str">
        <f>REPLACE(INDEX(GroupVertices[Group],MATCH(Edges[[#This Row],[Vertex 1]],GroupVertices[Vertex],0)),1,1,"")</f>
        <v>1</v>
      </c>
      <c r="R237" s="88" t="str">
        <f>REPLACE(INDEX(GroupVertices[Group],MATCH(Edges[[#This Row],[Vertex 2]],GroupVertices[Vertex],0)),1,1,"")</f>
        <v>1</v>
      </c>
      <c r="S237" s="34"/>
      <c r="T237" s="34"/>
      <c r="U237" s="34"/>
      <c r="V237" s="34"/>
      <c r="W237" s="34"/>
      <c r="X237" s="34"/>
      <c r="Y237" s="34"/>
      <c r="Z237" s="34"/>
      <c r="AA237" s="34"/>
    </row>
    <row r="238" spans="1:27" ht="15">
      <c r="A238" s="65" t="s">
        <v>222</v>
      </c>
      <c r="B238" s="65" t="s">
        <v>261</v>
      </c>
      <c r="C238" s="66" t="s">
        <v>2751</v>
      </c>
      <c r="D238" s="67">
        <v>3</v>
      </c>
      <c r="E238" s="68"/>
      <c r="F238" s="69">
        <v>50</v>
      </c>
      <c r="G238" s="66"/>
      <c r="H238" s="70"/>
      <c r="I238" s="71"/>
      <c r="J238" s="71"/>
      <c r="K238" s="34" t="s">
        <v>65</v>
      </c>
      <c r="L238" s="78">
        <v>238</v>
      </c>
      <c r="M238" s="78"/>
      <c r="N238" s="73"/>
      <c r="O238" s="89" t="s">
        <v>494</v>
      </c>
      <c r="P238">
        <v>1</v>
      </c>
      <c r="Q238" s="88" t="str">
        <f>REPLACE(INDEX(GroupVertices[Group],MATCH(Edges[[#This Row],[Vertex 1]],GroupVertices[Vertex],0)),1,1,"")</f>
        <v>2</v>
      </c>
      <c r="R238" s="88" t="str">
        <f>REPLACE(INDEX(GroupVertices[Group],MATCH(Edges[[#This Row],[Vertex 2]],GroupVertices[Vertex],0)),1,1,"")</f>
        <v>5</v>
      </c>
      <c r="S238" s="34"/>
      <c r="T238" s="34"/>
      <c r="U238" s="34"/>
      <c r="V238" s="34"/>
      <c r="W238" s="34"/>
      <c r="X238" s="34"/>
      <c r="Y238" s="34"/>
      <c r="Z238" s="34"/>
      <c r="AA238" s="34"/>
    </row>
    <row r="239" spans="1:27" ht="15">
      <c r="A239" s="65" t="s">
        <v>222</v>
      </c>
      <c r="B239" s="65" t="s">
        <v>367</v>
      </c>
      <c r="C239" s="66" t="s">
        <v>2751</v>
      </c>
      <c r="D239" s="67">
        <v>3</v>
      </c>
      <c r="E239" s="68"/>
      <c r="F239" s="69">
        <v>50</v>
      </c>
      <c r="G239" s="66"/>
      <c r="H239" s="70"/>
      <c r="I239" s="71"/>
      <c r="J239" s="71"/>
      <c r="K239" s="34" t="s">
        <v>65</v>
      </c>
      <c r="L239" s="78">
        <v>239</v>
      </c>
      <c r="M239" s="78"/>
      <c r="N239" s="73"/>
      <c r="O239" s="89" t="s">
        <v>494</v>
      </c>
      <c r="P239">
        <v>1</v>
      </c>
      <c r="Q239" s="88" t="str">
        <f>REPLACE(INDEX(GroupVertices[Group],MATCH(Edges[[#This Row],[Vertex 1]],GroupVertices[Vertex],0)),1,1,"")</f>
        <v>2</v>
      </c>
      <c r="R239" s="88" t="str">
        <f>REPLACE(INDEX(GroupVertices[Group],MATCH(Edges[[#This Row],[Vertex 2]],GroupVertices[Vertex],0)),1,1,"")</f>
        <v>1</v>
      </c>
      <c r="S239" s="34"/>
      <c r="T239" s="34"/>
      <c r="U239" s="34"/>
      <c r="V239" s="34"/>
      <c r="W239" s="34"/>
      <c r="X239" s="34"/>
      <c r="Y239" s="34"/>
      <c r="Z239" s="34"/>
      <c r="AA239" s="34"/>
    </row>
    <row r="240" spans="1:27" ht="15">
      <c r="A240" s="65" t="s">
        <v>222</v>
      </c>
      <c r="B240" s="65" t="s">
        <v>257</v>
      </c>
      <c r="C240" s="66" t="s">
        <v>2751</v>
      </c>
      <c r="D240" s="67">
        <v>3</v>
      </c>
      <c r="E240" s="68"/>
      <c r="F240" s="69">
        <v>50</v>
      </c>
      <c r="G240" s="66"/>
      <c r="H240" s="70"/>
      <c r="I240" s="71"/>
      <c r="J240" s="71"/>
      <c r="K240" s="34" t="s">
        <v>65</v>
      </c>
      <c r="L240" s="78">
        <v>240</v>
      </c>
      <c r="M240" s="78"/>
      <c r="N240" s="73"/>
      <c r="O240" s="89" t="s">
        <v>494</v>
      </c>
      <c r="P240">
        <v>1</v>
      </c>
      <c r="Q240" s="88" t="str">
        <f>REPLACE(INDEX(GroupVertices[Group],MATCH(Edges[[#This Row],[Vertex 1]],GroupVertices[Vertex],0)),1,1,"")</f>
        <v>2</v>
      </c>
      <c r="R240" s="88" t="str">
        <f>REPLACE(INDEX(GroupVertices[Group],MATCH(Edges[[#This Row],[Vertex 2]],GroupVertices[Vertex],0)),1,1,"")</f>
        <v>2</v>
      </c>
      <c r="S240" s="34"/>
      <c r="T240" s="34"/>
      <c r="U240" s="34"/>
      <c r="V240" s="34"/>
      <c r="W240" s="34"/>
      <c r="X240" s="34"/>
      <c r="Y240" s="34"/>
      <c r="Z240" s="34"/>
      <c r="AA240" s="34"/>
    </row>
    <row r="241" spans="1:27" ht="15">
      <c r="A241" s="65" t="s">
        <v>222</v>
      </c>
      <c r="B241" s="65" t="s">
        <v>256</v>
      </c>
      <c r="C241" s="66" t="s">
        <v>2751</v>
      </c>
      <c r="D241" s="67">
        <v>3</v>
      </c>
      <c r="E241" s="68"/>
      <c r="F241" s="69">
        <v>50</v>
      </c>
      <c r="G241" s="66"/>
      <c r="H241" s="70"/>
      <c r="I241" s="71"/>
      <c r="J241" s="71"/>
      <c r="K241" s="34" t="s">
        <v>65</v>
      </c>
      <c r="L241" s="78">
        <v>241</v>
      </c>
      <c r="M241" s="78"/>
      <c r="N241" s="73"/>
      <c r="O241" s="89" t="s">
        <v>494</v>
      </c>
      <c r="P241">
        <v>1</v>
      </c>
      <c r="Q241" s="88" t="str">
        <f>REPLACE(INDEX(GroupVertices[Group],MATCH(Edges[[#This Row],[Vertex 1]],GroupVertices[Vertex],0)),1,1,"")</f>
        <v>2</v>
      </c>
      <c r="R241" s="88" t="str">
        <f>REPLACE(INDEX(GroupVertices[Group],MATCH(Edges[[#This Row],[Vertex 2]],GroupVertices[Vertex],0)),1,1,"")</f>
        <v>1</v>
      </c>
      <c r="S241" s="34"/>
      <c r="T241" s="34"/>
      <c r="U241" s="34"/>
      <c r="V241" s="34"/>
      <c r="W241" s="34"/>
      <c r="X241" s="34"/>
      <c r="Y241" s="34"/>
      <c r="Z241" s="34"/>
      <c r="AA241" s="34"/>
    </row>
    <row r="242" spans="1:27" ht="15">
      <c r="A242" s="65" t="s">
        <v>222</v>
      </c>
      <c r="B242" s="65" t="s">
        <v>230</v>
      </c>
      <c r="C242" s="66" t="s">
        <v>2751</v>
      </c>
      <c r="D242" s="67">
        <v>3</v>
      </c>
      <c r="E242" s="68"/>
      <c r="F242" s="69">
        <v>50</v>
      </c>
      <c r="G242" s="66"/>
      <c r="H242" s="70"/>
      <c r="I242" s="71"/>
      <c r="J242" s="71"/>
      <c r="K242" s="34" t="s">
        <v>65</v>
      </c>
      <c r="L242" s="78">
        <v>242</v>
      </c>
      <c r="M242" s="78"/>
      <c r="N242" s="73"/>
      <c r="O242" s="89" t="s">
        <v>494</v>
      </c>
      <c r="P242">
        <v>1</v>
      </c>
      <c r="Q242" s="88" t="str">
        <f>REPLACE(INDEX(GroupVertices[Group],MATCH(Edges[[#This Row],[Vertex 1]],GroupVertices[Vertex],0)),1,1,"")</f>
        <v>2</v>
      </c>
      <c r="R242" s="88" t="str">
        <f>REPLACE(INDEX(GroupVertices[Group],MATCH(Edges[[#This Row],[Vertex 2]],GroupVertices[Vertex],0)),1,1,"")</f>
        <v>1</v>
      </c>
      <c r="S242" s="34"/>
      <c r="T242" s="34"/>
      <c r="U242" s="34"/>
      <c r="V242" s="34"/>
      <c r="W242" s="34"/>
      <c r="X242" s="34"/>
      <c r="Y242" s="34"/>
      <c r="Z242" s="34"/>
      <c r="AA242" s="34"/>
    </row>
    <row r="243" spans="1:27" ht="15">
      <c r="A243" s="65" t="s">
        <v>222</v>
      </c>
      <c r="B243" s="65" t="s">
        <v>262</v>
      </c>
      <c r="C243" s="66" t="s">
        <v>2751</v>
      </c>
      <c r="D243" s="67">
        <v>3</v>
      </c>
      <c r="E243" s="68"/>
      <c r="F243" s="69">
        <v>50</v>
      </c>
      <c r="G243" s="66"/>
      <c r="H243" s="70"/>
      <c r="I243" s="71"/>
      <c r="J243" s="71"/>
      <c r="K243" s="34" t="s">
        <v>65</v>
      </c>
      <c r="L243" s="78">
        <v>243</v>
      </c>
      <c r="M243" s="78"/>
      <c r="N243" s="73"/>
      <c r="O243" s="89" t="s">
        <v>494</v>
      </c>
      <c r="P243">
        <v>1</v>
      </c>
      <c r="Q243" s="88" t="str">
        <f>REPLACE(INDEX(GroupVertices[Group],MATCH(Edges[[#This Row],[Vertex 1]],GroupVertices[Vertex],0)),1,1,"")</f>
        <v>2</v>
      </c>
      <c r="R243" s="88" t="str">
        <f>REPLACE(INDEX(GroupVertices[Group],MATCH(Edges[[#This Row],[Vertex 2]],GroupVertices[Vertex],0)),1,1,"")</f>
        <v>2</v>
      </c>
      <c r="S243" s="34"/>
      <c r="T243" s="34"/>
      <c r="U243" s="34"/>
      <c r="V243" s="34"/>
      <c r="W243" s="34"/>
      <c r="X243" s="34"/>
      <c r="Y243" s="34"/>
      <c r="Z243" s="34"/>
      <c r="AA243" s="34"/>
    </row>
    <row r="244" spans="1:27" ht="15">
      <c r="A244" s="65" t="s">
        <v>222</v>
      </c>
      <c r="B244" s="65" t="s">
        <v>319</v>
      </c>
      <c r="C244" s="66" t="s">
        <v>2751</v>
      </c>
      <c r="D244" s="67">
        <v>3</v>
      </c>
      <c r="E244" s="68"/>
      <c r="F244" s="69">
        <v>50</v>
      </c>
      <c r="G244" s="66"/>
      <c r="H244" s="70"/>
      <c r="I244" s="71"/>
      <c r="J244" s="71"/>
      <c r="K244" s="34" t="s">
        <v>65</v>
      </c>
      <c r="L244" s="78">
        <v>244</v>
      </c>
      <c r="M244" s="78"/>
      <c r="N244" s="73"/>
      <c r="O244" s="89" t="s">
        <v>494</v>
      </c>
      <c r="P244">
        <v>1</v>
      </c>
      <c r="Q244" s="88" t="str">
        <f>REPLACE(INDEX(GroupVertices[Group],MATCH(Edges[[#This Row],[Vertex 1]],GroupVertices[Vertex],0)),1,1,"")</f>
        <v>2</v>
      </c>
      <c r="R244" s="88" t="str">
        <f>REPLACE(INDEX(GroupVertices[Group],MATCH(Edges[[#This Row],[Vertex 2]],GroupVertices[Vertex],0)),1,1,"")</f>
        <v>2</v>
      </c>
      <c r="S244" s="34"/>
      <c r="T244" s="34"/>
      <c r="U244" s="34"/>
      <c r="V244" s="34"/>
      <c r="W244" s="34"/>
      <c r="X244" s="34"/>
      <c r="Y244" s="34"/>
      <c r="Z244" s="34"/>
      <c r="AA244" s="34"/>
    </row>
    <row r="245" spans="1:27" ht="15">
      <c r="A245" s="65" t="s">
        <v>226</v>
      </c>
      <c r="B245" s="65" t="s">
        <v>222</v>
      </c>
      <c r="C245" s="66" t="s">
        <v>2751</v>
      </c>
      <c r="D245" s="67">
        <v>3</v>
      </c>
      <c r="E245" s="68"/>
      <c r="F245" s="69">
        <v>50</v>
      </c>
      <c r="G245" s="66"/>
      <c r="H245" s="70"/>
      <c r="I245" s="71"/>
      <c r="J245" s="71"/>
      <c r="K245" s="34" t="s">
        <v>65</v>
      </c>
      <c r="L245" s="78">
        <v>245</v>
      </c>
      <c r="M245" s="78"/>
      <c r="N245" s="73"/>
      <c r="O245" s="89" t="s">
        <v>494</v>
      </c>
      <c r="P245">
        <v>1</v>
      </c>
      <c r="Q245" s="88" t="str">
        <f>REPLACE(INDEX(GroupVertices[Group],MATCH(Edges[[#This Row],[Vertex 1]],GroupVertices[Vertex],0)),1,1,"")</f>
        <v>1</v>
      </c>
      <c r="R245" s="88" t="str">
        <f>REPLACE(INDEX(GroupVertices[Group],MATCH(Edges[[#This Row],[Vertex 2]],GroupVertices[Vertex],0)),1,1,"")</f>
        <v>2</v>
      </c>
      <c r="S245" s="34"/>
      <c r="T245" s="34"/>
      <c r="U245" s="34"/>
      <c r="V245" s="34"/>
      <c r="W245" s="34"/>
      <c r="X245" s="34"/>
      <c r="Y245" s="34"/>
      <c r="Z245" s="34"/>
      <c r="AA245" s="34"/>
    </row>
    <row r="246" spans="1:27" ht="15">
      <c r="A246" s="65" t="s">
        <v>226</v>
      </c>
      <c r="B246" s="65" t="s">
        <v>374</v>
      </c>
      <c r="C246" s="66" t="s">
        <v>2751</v>
      </c>
      <c r="D246" s="67">
        <v>3</v>
      </c>
      <c r="E246" s="68"/>
      <c r="F246" s="69">
        <v>50</v>
      </c>
      <c r="G246" s="66"/>
      <c r="H246" s="70"/>
      <c r="I246" s="71"/>
      <c r="J246" s="71"/>
      <c r="K246" s="34" t="s">
        <v>65</v>
      </c>
      <c r="L246" s="78">
        <v>246</v>
      </c>
      <c r="M246" s="78"/>
      <c r="N246" s="73"/>
      <c r="O246" s="89" t="s">
        <v>494</v>
      </c>
      <c r="P246">
        <v>1</v>
      </c>
      <c r="Q246" s="88" t="str">
        <f>REPLACE(INDEX(GroupVertices[Group],MATCH(Edges[[#This Row],[Vertex 1]],GroupVertices[Vertex],0)),1,1,"")</f>
        <v>1</v>
      </c>
      <c r="R246" s="88" t="str">
        <f>REPLACE(INDEX(GroupVertices[Group],MATCH(Edges[[#This Row],[Vertex 2]],GroupVertices[Vertex],0)),1,1,"")</f>
        <v>1</v>
      </c>
      <c r="S246" s="34"/>
      <c r="T246" s="34"/>
      <c r="U246" s="34"/>
      <c r="V246" s="34"/>
      <c r="W246" s="34"/>
      <c r="X246" s="34"/>
      <c r="Y246" s="34"/>
      <c r="Z246" s="34"/>
      <c r="AA246" s="34"/>
    </row>
    <row r="247" spans="1:27" ht="15">
      <c r="A247" s="65" t="s">
        <v>226</v>
      </c>
      <c r="B247" s="65" t="s">
        <v>375</v>
      </c>
      <c r="C247" s="66" t="s">
        <v>2751</v>
      </c>
      <c r="D247" s="67">
        <v>3</v>
      </c>
      <c r="E247" s="68"/>
      <c r="F247" s="69">
        <v>50</v>
      </c>
      <c r="G247" s="66"/>
      <c r="H247" s="70"/>
      <c r="I247" s="71"/>
      <c r="J247" s="71"/>
      <c r="K247" s="34" t="s">
        <v>65</v>
      </c>
      <c r="L247" s="78">
        <v>247</v>
      </c>
      <c r="M247" s="78"/>
      <c r="N247" s="73"/>
      <c r="O247" s="89" t="s">
        <v>494</v>
      </c>
      <c r="P247">
        <v>1</v>
      </c>
      <c r="Q247" s="88" t="str">
        <f>REPLACE(INDEX(GroupVertices[Group],MATCH(Edges[[#This Row],[Vertex 1]],GroupVertices[Vertex],0)),1,1,"")</f>
        <v>1</v>
      </c>
      <c r="R247" s="88" t="str">
        <f>REPLACE(INDEX(GroupVertices[Group],MATCH(Edges[[#This Row],[Vertex 2]],GroupVertices[Vertex],0)),1,1,"")</f>
        <v>1</v>
      </c>
      <c r="S247" s="34"/>
      <c r="T247" s="34"/>
      <c r="U247" s="34"/>
      <c r="V247" s="34"/>
      <c r="W247" s="34"/>
      <c r="X247" s="34"/>
      <c r="Y247" s="34"/>
      <c r="Z247" s="34"/>
      <c r="AA247" s="34"/>
    </row>
    <row r="248" spans="1:27" ht="15">
      <c r="A248" s="65" t="s">
        <v>226</v>
      </c>
      <c r="B248" s="65" t="s">
        <v>265</v>
      </c>
      <c r="C248" s="66" t="s">
        <v>2751</v>
      </c>
      <c r="D248" s="67">
        <v>3</v>
      </c>
      <c r="E248" s="68"/>
      <c r="F248" s="69">
        <v>50</v>
      </c>
      <c r="G248" s="66"/>
      <c r="H248" s="70"/>
      <c r="I248" s="71"/>
      <c r="J248" s="71"/>
      <c r="K248" s="34" t="s">
        <v>65</v>
      </c>
      <c r="L248" s="78">
        <v>248</v>
      </c>
      <c r="M248" s="78"/>
      <c r="N248" s="73"/>
      <c r="O248" s="89" t="s">
        <v>494</v>
      </c>
      <c r="P248">
        <v>1</v>
      </c>
      <c r="Q248" s="88" t="str">
        <f>REPLACE(INDEX(GroupVertices[Group],MATCH(Edges[[#This Row],[Vertex 1]],GroupVertices[Vertex],0)),1,1,"")</f>
        <v>1</v>
      </c>
      <c r="R248" s="88" t="str">
        <f>REPLACE(INDEX(GroupVertices[Group],MATCH(Edges[[#This Row],[Vertex 2]],GroupVertices[Vertex],0)),1,1,"")</f>
        <v>5</v>
      </c>
      <c r="S248" s="34"/>
      <c r="T248" s="34"/>
      <c r="U248" s="34"/>
      <c r="V248" s="34"/>
      <c r="W248" s="34"/>
      <c r="X248" s="34"/>
      <c r="Y248" s="34"/>
      <c r="Z248" s="34"/>
      <c r="AA248" s="34"/>
    </row>
    <row r="249" spans="1:27" ht="15">
      <c r="A249" s="65" t="s">
        <v>226</v>
      </c>
      <c r="B249" s="65" t="s">
        <v>376</v>
      </c>
      <c r="C249" s="66" t="s">
        <v>2751</v>
      </c>
      <c r="D249" s="67">
        <v>3</v>
      </c>
      <c r="E249" s="68"/>
      <c r="F249" s="69">
        <v>50</v>
      </c>
      <c r="G249" s="66"/>
      <c r="H249" s="70"/>
      <c r="I249" s="71"/>
      <c r="J249" s="71"/>
      <c r="K249" s="34" t="s">
        <v>65</v>
      </c>
      <c r="L249" s="78">
        <v>249</v>
      </c>
      <c r="M249" s="78"/>
      <c r="N249" s="73"/>
      <c r="O249" s="89" t="s">
        <v>494</v>
      </c>
      <c r="P249">
        <v>1</v>
      </c>
      <c r="Q249" s="88" t="str">
        <f>REPLACE(INDEX(GroupVertices[Group],MATCH(Edges[[#This Row],[Vertex 1]],GroupVertices[Vertex],0)),1,1,"")</f>
        <v>1</v>
      </c>
      <c r="R249" s="88" t="str">
        <f>REPLACE(INDEX(GroupVertices[Group],MATCH(Edges[[#This Row],[Vertex 2]],GroupVertices[Vertex],0)),1,1,"")</f>
        <v>1</v>
      </c>
      <c r="S249" s="34"/>
      <c r="T249" s="34"/>
      <c r="U249" s="34"/>
      <c r="V249" s="34"/>
      <c r="W249" s="34"/>
      <c r="X249" s="34"/>
      <c r="Y249" s="34"/>
      <c r="Z249" s="34"/>
      <c r="AA249" s="34"/>
    </row>
    <row r="250" spans="1:27" ht="15">
      <c r="A250" s="65" t="s">
        <v>226</v>
      </c>
      <c r="B250" s="65" t="s">
        <v>377</v>
      </c>
      <c r="C250" s="66" t="s">
        <v>2751</v>
      </c>
      <c r="D250" s="67">
        <v>3</v>
      </c>
      <c r="E250" s="68"/>
      <c r="F250" s="69">
        <v>50</v>
      </c>
      <c r="G250" s="66"/>
      <c r="H250" s="70"/>
      <c r="I250" s="71"/>
      <c r="J250" s="71"/>
      <c r="K250" s="34" t="s">
        <v>65</v>
      </c>
      <c r="L250" s="78">
        <v>250</v>
      </c>
      <c r="M250" s="78"/>
      <c r="N250" s="73"/>
      <c r="O250" s="89" t="s">
        <v>494</v>
      </c>
      <c r="P250">
        <v>1</v>
      </c>
      <c r="Q250" s="88" t="str">
        <f>REPLACE(INDEX(GroupVertices[Group],MATCH(Edges[[#This Row],[Vertex 1]],GroupVertices[Vertex],0)),1,1,"")</f>
        <v>1</v>
      </c>
      <c r="R250" s="88" t="str">
        <f>REPLACE(INDEX(GroupVertices[Group],MATCH(Edges[[#This Row],[Vertex 2]],GroupVertices[Vertex],0)),1,1,"")</f>
        <v>1</v>
      </c>
      <c r="S250" s="34"/>
      <c r="T250" s="34"/>
      <c r="U250" s="34"/>
      <c r="V250" s="34"/>
      <c r="W250" s="34"/>
      <c r="X250" s="34"/>
      <c r="Y250" s="34"/>
      <c r="Z250" s="34"/>
      <c r="AA250" s="34"/>
    </row>
    <row r="251" spans="1:27" ht="15">
      <c r="A251" s="65" t="s">
        <v>226</v>
      </c>
      <c r="B251" s="65" t="s">
        <v>378</v>
      </c>
      <c r="C251" s="66" t="s">
        <v>2751</v>
      </c>
      <c r="D251" s="67">
        <v>3</v>
      </c>
      <c r="E251" s="68"/>
      <c r="F251" s="69">
        <v>50</v>
      </c>
      <c r="G251" s="66"/>
      <c r="H251" s="70"/>
      <c r="I251" s="71"/>
      <c r="J251" s="71"/>
      <c r="K251" s="34" t="s">
        <v>65</v>
      </c>
      <c r="L251" s="78">
        <v>251</v>
      </c>
      <c r="M251" s="78"/>
      <c r="N251" s="73"/>
      <c r="O251" s="89" t="s">
        <v>494</v>
      </c>
      <c r="P251">
        <v>1</v>
      </c>
      <c r="Q251" s="88" t="str">
        <f>REPLACE(INDEX(GroupVertices[Group],MATCH(Edges[[#This Row],[Vertex 1]],GroupVertices[Vertex],0)),1,1,"")</f>
        <v>1</v>
      </c>
      <c r="R251" s="88" t="str">
        <f>REPLACE(INDEX(GroupVertices[Group],MATCH(Edges[[#This Row],[Vertex 2]],GroupVertices[Vertex],0)),1,1,"")</f>
        <v>1</v>
      </c>
      <c r="S251" s="34"/>
      <c r="T251" s="34"/>
      <c r="U251" s="34"/>
      <c r="V251" s="34"/>
      <c r="W251" s="34"/>
      <c r="X251" s="34"/>
      <c r="Y251" s="34"/>
      <c r="Z251" s="34"/>
      <c r="AA251" s="34"/>
    </row>
    <row r="252" spans="1:27" ht="15">
      <c r="A252" s="65" t="s">
        <v>226</v>
      </c>
      <c r="B252" s="65" t="s">
        <v>379</v>
      </c>
      <c r="C252" s="66" t="s">
        <v>2751</v>
      </c>
      <c r="D252" s="67">
        <v>3</v>
      </c>
      <c r="E252" s="68"/>
      <c r="F252" s="69">
        <v>50</v>
      </c>
      <c r="G252" s="66"/>
      <c r="H252" s="70"/>
      <c r="I252" s="71"/>
      <c r="J252" s="71"/>
      <c r="K252" s="34" t="s">
        <v>65</v>
      </c>
      <c r="L252" s="78">
        <v>252</v>
      </c>
      <c r="M252" s="78"/>
      <c r="N252" s="73"/>
      <c r="O252" s="89" t="s">
        <v>494</v>
      </c>
      <c r="P252">
        <v>1</v>
      </c>
      <c r="Q252" s="88" t="str">
        <f>REPLACE(INDEX(GroupVertices[Group],MATCH(Edges[[#This Row],[Vertex 1]],GroupVertices[Vertex],0)),1,1,"")</f>
        <v>1</v>
      </c>
      <c r="R252" s="88" t="str">
        <f>REPLACE(INDEX(GroupVertices[Group],MATCH(Edges[[#This Row],[Vertex 2]],GroupVertices[Vertex],0)),1,1,"")</f>
        <v>1</v>
      </c>
      <c r="S252" s="34"/>
      <c r="T252" s="34"/>
      <c r="U252" s="34"/>
      <c r="V252" s="34"/>
      <c r="W252" s="34"/>
      <c r="X252" s="34"/>
      <c r="Y252" s="34"/>
      <c r="Z252" s="34"/>
      <c r="AA252" s="34"/>
    </row>
    <row r="253" spans="1:27" ht="15">
      <c r="A253" s="65" t="s">
        <v>226</v>
      </c>
      <c r="B253" s="65" t="s">
        <v>380</v>
      </c>
      <c r="C253" s="66" t="s">
        <v>2751</v>
      </c>
      <c r="D253" s="67">
        <v>3</v>
      </c>
      <c r="E253" s="68"/>
      <c r="F253" s="69">
        <v>50</v>
      </c>
      <c r="G253" s="66"/>
      <c r="H253" s="70"/>
      <c r="I253" s="71"/>
      <c r="J253" s="71"/>
      <c r="K253" s="34" t="s">
        <v>65</v>
      </c>
      <c r="L253" s="78">
        <v>253</v>
      </c>
      <c r="M253" s="78"/>
      <c r="N253" s="73"/>
      <c r="O253" s="89" t="s">
        <v>494</v>
      </c>
      <c r="P253">
        <v>1</v>
      </c>
      <c r="Q253" s="88" t="str">
        <f>REPLACE(INDEX(GroupVertices[Group],MATCH(Edges[[#This Row],[Vertex 1]],GroupVertices[Vertex],0)),1,1,"")</f>
        <v>1</v>
      </c>
      <c r="R253" s="88" t="str">
        <f>REPLACE(INDEX(GroupVertices[Group],MATCH(Edges[[#This Row],[Vertex 2]],GroupVertices[Vertex],0)),1,1,"")</f>
        <v>1</v>
      </c>
      <c r="S253" s="34"/>
      <c r="T253" s="34"/>
      <c r="U253" s="34"/>
      <c r="V253" s="34"/>
      <c r="W253" s="34"/>
      <c r="X253" s="34"/>
      <c r="Y253" s="34"/>
      <c r="Z253" s="34"/>
      <c r="AA253" s="34"/>
    </row>
    <row r="254" spans="1:27" ht="15">
      <c r="A254" s="65" t="s">
        <v>226</v>
      </c>
      <c r="B254" s="65" t="s">
        <v>309</v>
      </c>
      <c r="C254" s="66" t="s">
        <v>2751</v>
      </c>
      <c r="D254" s="67">
        <v>3</v>
      </c>
      <c r="E254" s="68"/>
      <c r="F254" s="69">
        <v>50</v>
      </c>
      <c r="G254" s="66"/>
      <c r="H254" s="70"/>
      <c r="I254" s="71"/>
      <c r="J254" s="71"/>
      <c r="K254" s="34" t="s">
        <v>65</v>
      </c>
      <c r="L254" s="78">
        <v>254</v>
      </c>
      <c r="M254" s="78"/>
      <c r="N254" s="73"/>
      <c r="O254" s="89" t="s">
        <v>494</v>
      </c>
      <c r="P254">
        <v>1</v>
      </c>
      <c r="Q254" s="88" t="str">
        <f>REPLACE(INDEX(GroupVertices[Group],MATCH(Edges[[#This Row],[Vertex 1]],GroupVertices[Vertex],0)),1,1,"")</f>
        <v>1</v>
      </c>
      <c r="R254" s="88" t="str">
        <f>REPLACE(INDEX(GroupVertices[Group],MATCH(Edges[[#This Row],[Vertex 2]],GroupVertices[Vertex],0)),1,1,"")</f>
        <v>1</v>
      </c>
      <c r="S254" s="34"/>
      <c r="T254" s="34"/>
      <c r="U254" s="34"/>
      <c r="V254" s="34"/>
      <c r="W254" s="34"/>
      <c r="X254" s="34"/>
      <c r="Y254" s="34"/>
      <c r="Z254" s="34"/>
      <c r="AA254" s="34"/>
    </row>
    <row r="255" spans="1:27" ht="15">
      <c r="A255" s="65" t="s">
        <v>226</v>
      </c>
      <c r="B255" s="65" t="s">
        <v>368</v>
      </c>
      <c r="C255" s="66" t="s">
        <v>2751</v>
      </c>
      <c r="D255" s="67">
        <v>3</v>
      </c>
      <c r="E255" s="68"/>
      <c r="F255" s="69">
        <v>50</v>
      </c>
      <c r="G255" s="66"/>
      <c r="H255" s="70"/>
      <c r="I255" s="71"/>
      <c r="J255" s="71"/>
      <c r="K255" s="34" t="s">
        <v>65</v>
      </c>
      <c r="L255" s="78">
        <v>255</v>
      </c>
      <c r="M255" s="78"/>
      <c r="N255" s="73"/>
      <c r="O255" s="89" t="s">
        <v>494</v>
      </c>
      <c r="P255">
        <v>1</v>
      </c>
      <c r="Q255" s="88" t="str">
        <f>REPLACE(INDEX(GroupVertices[Group],MATCH(Edges[[#This Row],[Vertex 1]],GroupVertices[Vertex],0)),1,1,"")</f>
        <v>1</v>
      </c>
      <c r="R255" s="88" t="str">
        <f>REPLACE(INDEX(GroupVertices[Group],MATCH(Edges[[#This Row],[Vertex 2]],GroupVertices[Vertex],0)),1,1,"")</f>
        <v>1</v>
      </c>
      <c r="S255" s="34"/>
      <c r="T255" s="34"/>
      <c r="U255" s="34"/>
      <c r="V255" s="34"/>
      <c r="W255" s="34"/>
      <c r="X255" s="34"/>
      <c r="Y255" s="34"/>
      <c r="Z255" s="34"/>
      <c r="AA255" s="34"/>
    </row>
    <row r="256" spans="1:27" ht="15">
      <c r="A256" s="65" t="s">
        <v>226</v>
      </c>
      <c r="B256" s="65" t="s">
        <v>256</v>
      </c>
      <c r="C256" s="66" t="s">
        <v>2751</v>
      </c>
      <c r="D256" s="67">
        <v>3</v>
      </c>
      <c r="E256" s="68"/>
      <c r="F256" s="69">
        <v>50</v>
      </c>
      <c r="G256" s="66"/>
      <c r="H256" s="70"/>
      <c r="I256" s="71"/>
      <c r="J256" s="71"/>
      <c r="K256" s="34" t="s">
        <v>65</v>
      </c>
      <c r="L256" s="78">
        <v>256</v>
      </c>
      <c r="M256" s="78"/>
      <c r="N256" s="73"/>
      <c r="O256" s="89" t="s">
        <v>494</v>
      </c>
      <c r="P256">
        <v>1</v>
      </c>
      <c r="Q256" s="88" t="str">
        <f>REPLACE(INDEX(GroupVertices[Group],MATCH(Edges[[#This Row],[Vertex 1]],GroupVertices[Vertex],0)),1,1,"")</f>
        <v>1</v>
      </c>
      <c r="R256" s="88" t="str">
        <f>REPLACE(INDEX(GroupVertices[Group],MATCH(Edges[[#This Row],[Vertex 2]],GroupVertices[Vertex],0)),1,1,"")</f>
        <v>1</v>
      </c>
      <c r="S256" s="34"/>
      <c r="T256" s="34"/>
      <c r="U256" s="34"/>
      <c r="V256" s="34"/>
      <c r="W256" s="34"/>
      <c r="X256" s="34"/>
      <c r="Y256" s="34"/>
      <c r="Z256" s="34"/>
      <c r="AA256" s="34"/>
    </row>
    <row r="257" spans="1:27" ht="15">
      <c r="A257" s="65" t="s">
        <v>226</v>
      </c>
      <c r="B257" s="65" t="s">
        <v>381</v>
      </c>
      <c r="C257" s="66" t="s">
        <v>2751</v>
      </c>
      <c r="D257" s="67">
        <v>3</v>
      </c>
      <c r="E257" s="68"/>
      <c r="F257" s="69">
        <v>50</v>
      </c>
      <c r="G257" s="66"/>
      <c r="H257" s="70"/>
      <c r="I257" s="71"/>
      <c r="J257" s="71"/>
      <c r="K257" s="34" t="s">
        <v>65</v>
      </c>
      <c r="L257" s="78">
        <v>257</v>
      </c>
      <c r="M257" s="78"/>
      <c r="N257" s="73"/>
      <c r="O257" s="89" t="s">
        <v>494</v>
      </c>
      <c r="P257">
        <v>1</v>
      </c>
      <c r="Q257" s="88" t="str">
        <f>REPLACE(INDEX(GroupVertices[Group],MATCH(Edges[[#This Row],[Vertex 1]],GroupVertices[Vertex],0)),1,1,"")</f>
        <v>1</v>
      </c>
      <c r="R257" s="88" t="str">
        <f>REPLACE(INDEX(GroupVertices[Group],MATCH(Edges[[#This Row],[Vertex 2]],GroupVertices[Vertex],0)),1,1,"")</f>
        <v>1</v>
      </c>
      <c r="S257" s="34"/>
      <c r="T257" s="34"/>
      <c r="U257" s="34"/>
      <c r="V257" s="34"/>
      <c r="W257" s="34"/>
      <c r="X257" s="34"/>
      <c r="Y257" s="34"/>
      <c r="Z257" s="34"/>
      <c r="AA257" s="34"/>
    </row>
    <row r="258" spans="1:27" ht="15">
      <c r="A258" s="65" t="s">
        <v>226</v>
      </c>
      <c r="B258" s="65" t="s">
        <v>322</v>
      </c>
      <c r="C258" s="66" t="s">
        <v>2751</v>
      </c>
      <c r="D258" s="67">
        <v>3</v>
      </c>
      <c r="E258" s="68"/>
      <c r="F258" s="69">
        <v>50</v>
      </c>
      <c r="G258" s="66"/>
      <c r="H258" s="70"/>
      <c r="I258" s="71"/>
      <c r="J258" s="71"/>
      <c r="K258" s="34" t="s">
        <v>65</v>
      </c>
      <c r="L258" s="78">
        <v>258</v>
      </c>
      <c r="M258" s="78"/>
      <c r="N258" s="73"/>
      <c r="O258" s="89" t="s">
        <v>494</v>
      </c>
      <c r="P258">
        <v>1</v>
      </c>
      <c r="Q258" s="88" t="str">
        <f>REPLACE(INDEX(GroupVertices[Group],MATCH(Edges[[#This Row],[Vertex 1]],GroupVertices[Vertex],0)),1,1,"")</f>
        <v>1</v>
      </c>
      <c r="R258" s="88" t="str">
        <f>REPLACE(INDEX(GroupVertices[Group],MATCH(Edges[[#This Row],[Vertex 2]],GroupVertices[Vertex],0)),1,1,"")</f>
        <v>2</v>
      </c>
      <c r="S258" s="34"/>
      <c r="T258" s="34"/>
      <c r="U258" s="34"/>
      <c r="V258" s="34"/>
      <c r="W258" s="34"/>
      <c r="X258" s="34"/>
      <c r="Y258" s="34"/>
      <c r="Z258" s="34"/>
      <c r="AA258" s="34"/>
    </row>
    <row r="259" spans="1:27" ht="15">
      <c r="A259" s="65" t="s">
        <v>226</v>
      </c>
      <c r="B259" s="65" t="s">
        <v>367</v>
      </c>
      <c r="C259" s="66" t="s">
        <v>2751</v>
      </c>
      <c r="D259" s="67">
        <v>3</v>
      </c>
      <c r="E259" s="68"/>
      <c r="F259" s="69">
        <v>50</v>
      </c>
      <c r="G259" s="66"/>
      <c r="H259" s="70"/>
      <c r="I259" s="71"/>
      <c r="J259" s="71"/>
      <c r="K259" s="34" t="s">
        <v>65</v>
      </c>
      <c r="L259" s="78">
        <v>259</v>
      </c>
      <c r="M259" s="78"/>
      <c r="N259" s="73"/>
      <c r="O259" s="89" t="s">
        <v>494</v>
      </c>
      <c r="P259">
        <v>1</v>
      </c>
      <c r="Q259" s="88" t="str">
        <f>REPLACE(INDEX(GroupVertices[Group],MATCH(Edges[[#This Row],[Vertex 1]],GroupVertices[Vertex],0)),1,1,"")</f>
        <v>1</v>
      </c>
      <c r="R259" s="88" t="str">
        <f>REPLACE(INDEX(GroupVertices[Group],MATCH(Edges[[#This Row],[Vertex 2]],GroupVertices[Vertex],0)),1,1,"")</f>
        <v>1</v>
      </c>
      <c r="S259" s="34"/>
      <c r="T259" s="34"/>
      <c r="U259" s="34"/>
      <c r="V259" s="34"/>
      <c r="W259" s="34"/>
      <c r="X259" s="34"/>
      <c r="Y259" s="34"/>
      <c r="Z259" s="34"/>
      <c r="AA259" s="34"/>
    </row>
    <row r="260" spans="1:27" ht="15">
      <c r="A260" s="65" t="s">
        <v>226</v>
      </c>
      <c r="B260" s="65" t="s">
        <v>262</v>
      </c>
      <c r="C260" s="66" t="s">
        <v>2751</v>
      </c>
      <c r="D260" s="67">
        <v>3</v>
      </c>
      <c r="E260" s="68"/>
      <c r="F260" s="69">
        <v>50</v>
      </c>
      <c r="G260" s="66"/>
      <c r="H260" s="70"/>
      <c r="I260" s="71"/>
      <c r="J260" s="71"/>
      <c r="K260" s="34" t="s">
        <v>65</v>
      </c>
      <c r="L260" s="78">
        <v>260</v>
      </c>
      <c r="M260" s="78"/>
      <c r="N260" s="73"/>
      <c r="O260" s="89" t="s">
        <v>494</v>
      </c>
      <c r="P260">
        <v>1</v>
      </c>
      <c r="Q260" s="88" t="str">
        <f>REPLACE(INDEX(GroupVertices[Group],MATCH(Edges[[#This Row],[Vertex 1]],GroupVertices[Vertex],0)),1,1,"")</f>
        <v>1</v>
      </c>
      <c r="R260" s="88" t="str">
        <f>REPLACE(INDEX(GroupVertices[Group],MATCH(Edges[[#This Row],[Vertex 2]],GroupVertices[Vertex],0)),1,1,"")</f>
        <v>2</v>
      </c>
      <c r="S260" s="34"/>
      <c r="T260" s="34"/>
      <c r="U260" s="34"/>
      <c r="V260" s="34"/>
      <c r="W260" s="34"/>
      <c r="X260" s="34"/>
      <c r="Y260" s="34"/>
      <c r="Z260" s="34"/>
      <c r="AA260" s="34"/>
    </row>
    <row r="261" spans="1:27" ht="15">
      <c r="A261" s="65" t="s">
        <v>226</v>
      </c>
      <c r="B261" s="65" t="s">
        <v>319</v>
      </c>
      <c r="C261" s="66" t="s">
        <v>2751</v>
      </c>
      <c r="D261" s="67">
        <v>3</v>
      </c>
      <c r="E261" s="68"/>
      <c r="F261" s="69">
        <v>50</v>
      </c>
      <c r="G261" s="66"/>
      <c r="H261" s="70"/>
      <c r="I261" s="71"/>
      <c r="J261" s="71"/>
      <c r="K261" s="34" t="s">
        <v>65</v>
      </c>
      <c r="L261" s="78">
        <v>261</v>
      </c>
      <c r="M261" s="78"/>
      <c r="N261" s="73"/>
      <c r="O261" s="89" t="s">
        <v>494</v>
      </c>
      <c r="P261">
        <v>1</v>
      </c>
      <c r="Q261" s="88" t="str">
        <f>REPLACE(INDEX(GroupVertices[Group],MATCH(Edges[[#This Row],[Vertex 1]],GroupVertices[Vertex],0)),1,1,"")</f>
        <v>1</v>
      </c>
      <c r="R261" s="88" t="str">
        <f>REPLACE(INDEX(GroupVertices[Group],MATCH(Edges[[#This Row],[Vertex 2]],GroupVertices[Vertex],0)),1,1,"")</f>
        <v>2</v>
      </c>
      <c r="S261" s="34"/>
      <c r="T261" s="34"/>
      <c r="U261" s="34"/>
      <c r="V261" s="34"/>
      <c r="W261" s="34"/>
      <c r="X261" s="34"/>
      <c r="Y261" s="34"/>
      <c r="Z261" s="34"/>
      <c r="AA261" s="34"/>
    </row>
    <row r="262" spans="1:27" ht="15">
      <c r="A262" s="65" t="s">
        <v>226</v>
      </c>
      <c r="B262" s="65" t="s">
        <v>315</v>
      </c>
      <c r="C262" s="66" t="s">
        <v>2751</v>
      </c>
      <c r="D262" s="67">
        <v>3</v>
      </c>
      <c r="E262" s="68"/>
      <c r="F262" s="69">
        <v>50</v>
      </c>
      <c r="G262" s="66"/>
      <c r="H262" s="70"/>
      <c r="I262" s="71"/>
      <c r="J262" s="71"/>
      <c r="K262" s="34" t="s">
        <v>65</v>
      </c>
      <c r="L262" s="78">
        <v>262</v>
      </c>
      <c r="M262" s="78"/>
      <c r="N262" s="73"/>
      <c r="O262" s="89" t="s">
        <v>494</v>
      </c>
      <c r="P262">
        <v>1</v>
      </c>
      <c r="Q262" s="88" t="str">
        <f>REPLACE(INDEX(GroupVertices[Group],MATCH(Edges[[#This Row],[Vertex 1]],GroupVertices[Vertex],0)),1,1,"")</f>
        <v>1</v>
      </c>
      <c r="R262" s="88" t="str">
        <f>REPLACE(INDEX(GroupVertices[Group],MATCH(Edges[[#This Row],[Vertex 2]],GroupVertices[Vertex],0)),1,1,"")</f>
        <v>2</v>
      </c>
      <c r="S262" s="34"/>
      <c r="T262" s="34"/>
      <c r="U262" s="34"/>
      <c r="V262" s="34"/>
      <c r="W262" s="34"/>
      <c r="X262" s="34"/>
      <c r="Y262" s="34"/>
      <c r="Z262" s="34"/>
      <c r="AA262" s="34"/>
    </row>
    <row r="263" spans="1:27" ht="15">
      <c r="A263" s="65" t="s">
        <v>227</v>
      </c>
      <c r="B263" s="65" t="s">
        <v>382</v>
      </c>
      <c r="C263" s="66" t="s">
        <v>2751</v>
      </c>
      <c r="D263" s="67">
        <v>3</v>
      </c>
      <c r="E263" s="68"/>
      <c r="F263" s="69">
        <v>50</v>
      </c>
      <c r="G263" s="66"/>
      <c r="H263" s="70"/>
      <c r="I263" s="71"/>
      <c r="J263" s="71"/>
      <c r="K263" s="34" t="s">
        <v>65</v>
      </c>
      <c r="L263" s="78">
        <v>263</v>
      </c>
      <c r="M263" s="78"/>
      <c r="N263" s="73"/>
      <c r="O263" s="89" t="s">
        <v>494</v>
      </c>
      <c r="P263">
        <v>1</v>
      </c>
      <c r="Q263" s="88" t="str">
        <f>REPLACE(INDEX(GroupVertices[Group],MATCH(Edges[[#This Row],[Vertex 1]],GroupVertices[Vertex],0)),1,1,"")</f>
        <v>10</v>
      </c>
      <c r="R263" s="88" t="str">
        <f>REPLACE(INDEX(GroupVertices[Group],MATCH(Edges[[#This Row],[Vertex 2]],GroupVertices[Vertex],0)),1,1,"")</f>
        <v>10</v>
      </c>
      <c r="S263" s="34"/>
      <c r="T263" s="34"/>
      <c r="U263" s="34"/>
      <c r="V263" s="34"/>
      <c r="W263" s="34"/>
      <c r="X263" s="34"/>
      <c r="Y263" s="34"/>
      <c r="Z263" s="34"/>
      <c r="AA263" s="34"/>
    </row>
    <row r="264" spans="1:27" ht="15">
      <c r="A264" s="65" t="s">
        <v>227</v>
      </c>
      <c r="B264" s="65" t="s">
        <v>383</v>
      </c>
      <c r="C264" s="66" t="s">
        <v>2751</v>
      </c>
      <c r="D264" s="67">
        <v>3</v>
      </c>
      <c r="E264" s="68"/>
      <c r="F264" s="69">
        <v>50</v>
      </c>
      <c r="G264" s="66"/>
      <c r="H264" s="70"/>
      <c r="I264" s="71"/>
      <c r="J264" s="71"/>
      <c r="K264" s="34" t="s">
        <v>65</v>
      </c>
      <c r="L264" s="78">
        <v>264</v>
      </c>
      <c r="M264" s="78"/>
      <c r="N264" s="73"/>
      <c r="O264" s="89" t="s">
        <v>494</v>
      </c>
      <c r="P264">
        <v>1</v>
      </c>
      <c r="Q264" s="88" t="str">
        <f>REPLACE(INDEX(GroupVertices[Group],MATCH(Edges[[#This Row],[Vertex 1]],GroupVertices[Vertex],0)),1,1,"")</f>
        <v>10</v>
      </c>
      <c r="R264" s="88" t="str">
        <f>REPLACE(INDEX(GroupVertices[Group],MATCH(Edges[[#This Row],[Vertex 2]],GroupVertices[Vertex],0)),1,1,"")</f>
        <v>10</v>
      </c>
      <c r="S264" s="34"/>
      <c r="T264" s="34"/>
      <c r="U264" s="34"/>
      <c r="V264" s="34"/>
      <c r="W264" s="34"/>
      <c r="X264" s="34"/>
      <c r="Y264" s="34"/>
      <c r="Z264" s="34"/>
      <c r="AA264" s="34"/>
    </row>
    <row r="265" spans="1:27" ht="15">
      <c r="A265" s="65" t="s">
        <v>227</v>
      </c>
      <c r="B265" s="65" t="s">
        <v>384</v>
      </c>
      <c r="C265" s="66" t="s">
        <v>2751</v>
      </c>
      <c r="D265" s="67">
        <v>3</v>
      </c>
      <c r="E265" s="68"/>
      <c r="F265" s="69">
        <v>50</v>
      </c>
      <c r="G265" s="66"/>
      <c r="H265" s="70"/>
      <c r="I265" s="71"/>
      <c r="J265" s="71"/>
      <c r="K265" s="34" t="s">
        <v>65</v>
      </c>
      <c r="L265" s="78">
        <v>265</v>
      </c>
      <c r="M265" s="78"/>
      <c r="N265" s="73"/>
      <c r="O265" s="89" t="s">
        <v>494</v>
      </c>
      <c r="P265">
        <v>1</v>
      </c>
      <c r="Q265" s="88" t="str">
        <f>REPLACE(INDEX(GroupVertices[Group],MATCH(Edges[[#This Row],[Vertex 1]],GroupVertices[Vertex],0)),1,1,"")</f>
        <v>10</v>
      </c>
      <c r="R265" s="88" t="str">
        <f>REPLACE(INDEX(GroupVertices[Group],MATCH(Edges[[#This Row],[Vertex 2]],GroupVertices[Vertex],0)),1,1,"")</f>
        <v>10</v>
      </c>
      <c r="S265" s="34"/>
      <c r="T265" s="34"/>
      <c r="U265" s="34"/>
      <c r="V265" s="34"/>
      <c r="W265" s="34"/>
      <c r="X265" s="34"/>
      <c r="Y265" s="34"/>
      <c r="Z265" s="34"/>
      <c r="AA265" s="34"/>
    </row>
    <row r="266" spans="1:27" ht="15">
      <c r="A266" s="65" t="s">
        <v>227</v>
      </c>
      <c r="B266" s="65" t="s">
        <v>385</v>
      </c>
      <c r="C266" s="66" t="s">
        <v>2751</v>
      </c>
      <c r="D266" s="67">
        <v>3</v>
      </c>
      <c r="E266" s="68"/>
      <c r="F266" s="69">
        <v>50</v>
      </c>
      <c r="G266" s="66"/>
      <c r="H266" s="70"/>
      <c r="I266" s="71"/>
      <c r="J266" s="71"/>
      <c r="K266" s="34" t="s">
        <v>65</v>
      </c>
      <c r="L266" s="78">
        <v>266</v>
      </c>
      <c r="M266" s="78"/>
      <c r="N266" s="73"/>
      <c r="O266" s="89" t="s">
        <v>494</v>
      </c>
      <c r="P266">
        <v>1</v>
      </c>
      <c r="Q266" s="88" t="str">
        <f>REPLACE(INDEX(GroupVertices[Group],MATCH(Edges[[#This Row],[Vertex 1]],GroupVertices[Vertex],0)),1,1,"")</f>
        <v>10</v>
      </c>
      <c r="R266" s="88" t="str">
        <f>REPLACE(INDEX(GroupVertices[Group],MATCH(Edges[[#This Row],[Vertex 2]],GroupVertices[Vertex],0)),1,1,"")</f>
        <v>10</v>
      </c>
      <c r="S266" s="34"/>
      <c r="T266" s="34"/>
      <c r="U266" s="34"/>
      <c r="V266" s="34"/>
      <c r="W266" s="34"/>
      <c r="X266" s="34"/>
      <c r="Y266" s="34"/>
      <c r="Z266" s="34"/>
      <c r="AA266" s="34"/>
    </row>
    <row r="267" spans="1:27" ht="15">
      <c r="A267" s="65" t="s">
        <v>227</v>
      </c>
      <c r="B267" s="65" t="s">
        <v>263</v>
      </c>
      <c r="C267" s="66" t="s">
        <v>2751</v>
      </c>
      <c r="D267" s="67">
        <v>3</v>
      </c>
      <c r="E267" s="68"/>
      <c r="F267" s="69">
        <v>50</v>
      </c>
      <c r="G267" s="66"/>
      <c r="H267" s="70"/>
      <c r="I267" s="71"/>
      <c r="J267" s="71"/>
      <c r="K267" s="34" t="s">
        <v>65</v>
      </c>
      <c r="L267" s="78">
        <v>267</v>
      </c>
      <c r="M267" s="78"/>
      <c r="N267" s="73"/>
      <c r="O267" s="89" t="s">
        <v>494</v>
      </c>
      <c r="P267">
        <v>1</v>
      </c>
      <c r="Q267" s="88" t="str">
        <f>REPLACE(INDEX(GroupVertices[Group],MATCH(Edges[[#This Row],[Vertex 1]],GroupVertices[Vertex],0)),1,1,"")</f>
        <v>10</v>
      </c>
      <c r="R267" s="88" t="str">
        <f>REPLACE(INDEX(GroupVertices[Group],MATCH(Edges[[#This Row],[Vertex 2]],GroupVertices[Vertex],0)),1,1,"")</f>
        <v>5</v>
      </c>
      <c r="S267" s="34"/>
      <c r="T267" s="34"/>
      <c r="U267" s="34"/>
      <c r="V267" s="34"/>
      <c r="W267" s="34"/>
      <c r="X267" s="34"/>
      <c r="Y267" s="34"/>
      <c r="Z267" s="34"/>
      <c r="AA267" s="34"/>
    </row>
    <row r="268" spans="1:27" ht="15">
      <c r="A268" s="65" t="s">
        <v>227</v>
      </c>
      <c r="B268" s="65" t="s">
        <v>386</v>
      </c>
      <c r="C268" s="66" t="s">
        <v>2751</v>
      </c>
      <c r="D268" s="67">
        <v>3</v>
      </c>
      <c r="E268" s="68"/>
      <c r="F268" s="69">
        <v>50</v>
      </c>
      <c r="G268" s="66"/>
      <c r="H268" s="70"/>
      <c r="I268" s="71"/>
      <c r="J268" s="71"/>
      <c r="K268" s="34" t="s">
        <v>65</v>
      </c>
      <c r="L268" s="78">
        <v>268</v>
      </c>
      <c r="M268" s="78"/>
      <c r="N268" s="73"/>
      <c r="O268" s="89" t="s">
        <v>494</v>
      </c>
      <c r="P268">
        <v>1</v>
      </c>
      <c r="Q268" s="88" t="str">
        <f>REPLACE(INDEX(GroupVertices[Group],MATCH(Edges[[#This Row],[Vertex 1]],GroupVertices[Vertex],0)),1,1,"")</f>
        <v>10</v>
      </c>
      <c r="R268" s="88" t="str">
        <f>REPLACE(INDEX(GroupVertices[Group],MATCH(Edges[[#This Row],[Vertex 2]],GroupVertices[Vertex],0)),1,1,"")</f>
        <v>10</v>
      </c>
      <c r="S268" s="34"/>
      <c r="T268" s="34"/>
      <c r="U268" s="34"/>
      <c r="V268" s="34"/>
      <c r="W268" s="34"/>
      <c r="X268" s="34"/>
      <c r="Y268" s="34"/>
      <c r="Z268" s="34"/>
      <c r="AA268" s="34"/>
    </row>
    <row r="269" spans="1:27" ht="15">
      <c r="A269" s="65" t="s">
        <v>227</v>
      </c>
      <c r="B269" s="65" t="s">
        <v>387</v>
      </c>
      <c r="C269" s="66" t="s">
        <v>2751</v>
      </c>
      <c r="D269" s="67">
        <v>3</v>
      </c>
      <c r="E269" s="68"/>
      <c r="F269" s="69">
        <v>50</v>
      </c>
      <c r="G269" s="66"/>
      <c r="H269" s="70"/>
      <c r="I269" s="71"/>
      <c r="J269" s="71"/>
      <c r="K269" s="34" t="s">
        <v>65</v>
      </c>
      <c r="L269" s="78">
        <v>269</v>
      </c>
      <c r="M269" s="78"/>
      <c r="N269" s="73"/>
      <c r="O269" s="89" t="s">
        <v>494</v>
      </c>
      <c r="P269">
        <v>1</v>
      </c>
      <c r="Q269" s="88" t="str">
        <f>REPLACE(INDEX(GroupVertices[Group],MATCH(Edges[[#This Row],[Vertex 1]],GroupVertices[Vertex],0)),1,1,"")</f>
        <v>10</v>
      </c>
      <c r="R269" s="88" t="str">
        <f>REPLACE(INDEX(GroupVertices[Group],MATCH(Edges[[#This Row],[Vertex 2]],GroupVertices[Vertex],0)),1,1,"")</f>
        <v>10</v>
      </c>
      <c r="S269" s="34"/>
      <c r="T269" s="34"/>
      <c r="U269" s="34"/>
      <c r="V269" s="34"/>
      <c r="W269" s="34"/>
      <c r="X269" s="34"/>
      <c r="Y269" s="34"/>
      <c r="Z269" s="34"/>
      <c r="AA269" s="34"/>
    </row>
    <row r="270" spans="1:27" ht="15">
      <c r="A270" s="65" t="s">
        <v>227</v>
      </c>
      <c r="B270" s="65" t="s">
        <v>388</v>
      </c>
      <c r="C270" s="66" t="s">
        <v>2751</v>
      </c>
      <c r="D270" s="67">
        <v>3</v>
      </c>
      <c r="E270" s="68"/>
      <c r="F270" s="69">
        <v>50</v>
      </c>
      <c r="G270" s="66"/>
      <c r="H270" s="70"/>
      <c r="I270" s="71"/>
      <c r="J270" s="71"/>
      <c r="K270" s="34" t="s">
        <v>65</v>
      </c>
      <c r="L270" s="78">
        <v>270</v>
      </c>
      <c r="M270" s="78"/>
      <c r="N270" s="73"/>
      <c r="O270" s="89" t="s">
        <v>494</v>
      </c>
      <c r="P270">
        <v>1</v>
      </c>
      <c r="Q270" s="88" t="str">
        <f>REPLACE(INDEX(GroupVertices[Group],MATCH(Edges[[#This Row],[Vertex 1]],GroupVertices[Vertex],0)),1,1,"")</f>
        <v>10</v>
      </c>
      <c r="R270" s="88" t="str">
        <f>REPLACE(INDEX(GroupVertices[Group],MATCH(Edges[[#This Row],[Vertex 2]],GroupVertices[Vertex],0)),1,1,"")</f>
        <v>10</v>
      </c>
      <c r="S270" s="34"/>
      <c r="T270" s="34"/>
      <c r="U270" s="34"/>
      <c r="V270" s="34"/>
      <c r="W270" s="34"/>
      <c r="X270" s="34"/>
      <c r="Y270" s="34"/>
      <c r="Z270" s="34"/>
      <c r="AA270" s="34"/>
    </row>
    <row r="271" spans="1:27" ht="15">
      <c r="A271" s="65" t="s">
        <v>227</v>
      </c>
      <c r="B271" s="65" t="s">
        <v>389</v>
      </c>
      <c r="C271" s="66" t="s">
        <v>2751</v>
      </c>
      <c r="D271" s="67">
        <v>3</v>
      </c>
      <c r="E271" s="68"/>
      <c r="F271" s="69">
        <v>50</v>
      </c>
      <c r="G271" s="66"/>
      <c r="H271" s="70"/>
      <c r="I271" s="71"/>
      <c r="J271" s="71"/>
      <c r="K271" s="34" t="s">
        <v>65</v>
      </c>
      <c r="L271" s="78">
        <v>271</v>
      </c>
      <c r="M271" s="78"/>
      <c r="N271" s="73"/>
      <c r="O271" s="89" t="s">
        <v>494</v>
      </c>
      <c r="P271">
        <v>1</v>
      </c>
      <c r="Q271" s="88" t="str">
        <f>REPLACE(INDEX(GroupVertices[Group],MATCH(Edges[[#This Row],[Vertex 1]],GroupVertices[Vertex],0)),1,1,"")</f>
        <v>10</v>
      </c>
      <c r="R271" s="88" t="str">
        <f>REPLACE(INDEX(GroupVertices[Group],MATCH(Edges[[#This Row],[Vertex 2]],GroupVertices[Vertex],0)),1,1,"")</f>
        <v>10</v>
      </c>
      <c r="S271" s="34"/>
      <c r="T271" s="34"/>
      <c r="U271" s="34"/>
      <c r="V271" s="34"/>
      <c r="W271" s="34"/>
      <c r="X271" s="34"/>
      <c r="Y271" s="34"/>
      <c r="Z271" s="34"/>
      <c r="AA271" s="34"/>
    </row>
    <row r="272" spans="1:27" ht="15">
      <c r="A272" s="65" t="s">
        <v>227</v>
      </c>
      <c r="B272" s="65" t="s">
        <v>390</v>
      </c>
      <c r="C272" s="66" t="s">
        <v>2751</v>
      </c>
      <c r="D272" s="67">
        <v>3</v>
      </c>
      <c r="E272" s="68"/>
      <c r="F272" s="69">
        <v>50</v>
      </c>
      <c r="G272" s="66"/>
      <c r="H272" s="70"/>
      <c r="I272" s="71"/>
      <c r="J272" s="71"/>
      <c r="K272" s="34" t="s">
        <v>65</v>
      </c>
      <c r="L272" s="78">
        <v>272</v>
      </c>
      <c r="M272" s="78"/>
      <c r="N272" s="73"/>
      <c r="O272" s="89" t="s">
        <v>494</v>
      </c>
      <c r="P272">
        <v>1</v>
      </c>
      <c r="Q272" s="88" t="str">
        <f>REPLACE(INDEX(GroupVertices[Group],MATCH(Edges[[#This Row],[Vertex 1]],GroupVertices[Vertex],0)),1,1,"")</f>
        <v>10</v>
      </c>
      <c r="R272" s="88" t="str">
        <f>REPLACE(INDEX(GroupVertices[Group],MATCH(Edges[[#This Row],[Vertex 2]],GroupVertices[Vertex],0)),1,1,"")</f>
        <v>10</v>
      </c>
      <c r="S272" s="34"/>
      <c r="T272" s="34"/>
      <c r="U272" s="34"/>
      <c r="V272" s="34"/>
      <c r="W272" s="34"/>
      <c r="X272" s="34"/>
      <c r="Y272" s="34"/>
      <c r="Z272" s="34"/>
      <c r="AA272" s="34"/>
    </row>
    <row r="273" spans="1:27" ht="15">
      <c r="A273" s="65" t="s">
        <v>227</v>
      </c>
      <c r="B273" s="65" t="s">
        <v>391</v>
      </c>
      <c r="C273" s="66" t="s">
        <v>2751</v>
      </c>
      <c r="D273" s="67">
        <v>3</v>
      </c>
      <c r="E273" s="68"/>
      <c r="F273" s="69">
        <v>50</v>
      </c>
      <c r="G273" s="66"/>
      <c r="H273" s="70"/>
      <c r="I273" s="71"/>
      <c r="J273" s="71"/>
      <c r="K273" s="34" t="s">
        <v>65</v>
      </c>
      <c r="L273" s="78">
        <v>273</v>
      </c>
      <c r="M273" s="78"/>
      <c r="N273" s="73"/>
      <c r="O273" s="89" t="s">
        <v>494</v>
      </c>
      <c r="P273">
        <v>1</v>
      </c>
      <c r="Q273" s="88" t="str">
        <f>REPLACE(INDEX(GroupVertices[Group],MATCH(Edges[[#This Row],[Vertex 1]],GroupVertices[Vertex],0)),1,1,"")</f>
        <v>10</v>
      </c>
      <c r="R273" s="88" t="str">
        <f>REPLACE(INDEX(GroupVertices[Group],MATCH(Edges[[#This Row],[Vertex 2]],GroupVertices[Vertex],0)),1,1,"")</f>
        <v>10</v>
      </c>
      <c r="S273" s="34"/>
      <c r="T273" s="34"/>
      <c r="U273" s="34"/>
      <c r="V273" s="34"/>
      <c r="W273" s="34"/>
      <c r="X273" s="34"/>
      <c r="Y273" s="34"/>
      <c r="Z273" s="34"/>
      <c r="AA273" s="34"/>
    </row>
    <row r="274" spans="1:27" ht="15">
      <c r="A274" s="65" t="s">
        <v>227</v>
      </c>
      <c r="B274" s="65" t="s">
        <v>392</v>
      </c>
      <c r="C274" s="66" t="s">
        <v>2751</v>
      </c>
      <c r="D274" s="67">
        <v>3</v>
      </c>
      <c r="E274" s="68"/>
      <c r="F274" s="69">
        <v>50</v>
      </c>
      <c r="G274" s="66"/>
      <c r="H274" s="70"/>
      <c r="I274" s="71"/>
      <c r="J274" s="71"/>
      <c r="K274" s="34" t="s">
        <v>65</v>
      </c>
      <c r="L274" s="78">
        <v>274</v>
      </c>
      <c r="M274" s="78"/>
      <c r="N274" s="73"/>
      <c r="O274" s="89" t="s">
        <v>494</v>
      </c>
      <c r="P274">
        <v>1</v>
      </c>
      <c r="Q274" s="88" t="str">
        <f>REPLACE(INDEX(GroupVertices[Group],MATCH(Edges[[#This Row],[Vertex 1]],GroupVertices[Vertex],0)),1,1,"")</f>
        <v>10</v>
      </c>
      <c r="R274" s="88" t="str">
        <f>REPLACE(INDEX(GroupVertices[Group],MATCH(Edges[[#This Row],[Vertex 2]],GroupVertices[Vertex],0)),1,1,"")</f>
        <v>10</v>
      </c>
      <c r="S274" s="34"/>
      <c r="T274" s="34"/>
      <c r="U274" s="34"/>
      <c r="V274" s="34"/>
      <c r="W274" s="34"/>
      <c r="X274" s="34"/>
      <c r="Y274" s="34"/>
      <c r="Z274" s="34"/>
      <c r="AA274" s="34"/>
    </row>
    <row r="275" spans="1:27" ht="15">
      <c r="A275" s="65" t="s">
        <v>227</v>
      </c>
      <c r="B275" s="65" t="s">
        <v>393</v>
      </c>
      <c r="C275" s="66" t="s">
        <v>2751</v>
      </c>
      <c r="D275" s="67">
        <v>3</v>
      </c>
      <c r="E275" s="68"/>
      <c r="F275" s="69">
        <v>50</v>
      </c>
      <c r="G275" s="66"/>
      <c r="H275" s="70"/>
      <c r="I275" s="71"/>
      <c r="J275" s="71"/>
      <c r="K275" s="34" t="s">
        <v>65</v>
      </c>
      <c r="L275" s="78">
        <v>275</v>
      </c>
      <c r="M275" s="78"/>
      <c r="N275" s="73"/>
      <c r="O275" s="89" t="s">
        <v>494</v>
      </c>
      <c r="P275">
        <v>1</v>
      </c>
      <c r="Q275" s="88" t="str">
        <f>REPLACE(INDEX(GroupVertices[Group],MATCH(Edges[[#This Row],[Vertex 1]],GroupVertices[Vertex],0)),1,1,"")</f>
        <v>10</v>
      </c>
      <c r="R275" s="88" t="str">
        <f>REPLACE(INDEX(GroupVertices[Group],MATCH(Edges[[#This Row],[Vertex 2]],GroupVertices[Vertex],0)),1,1,"")</f>
        <v>10</v>
      </c>
      <c r="S275" s="34"/>
      <c r="T275" s="34"/>
      <c r="U275" s="34"/>
      <c r="V275" s="34"/>
      <c r="W275" s="34"/>
      <c r="X275" s="34"/>
      <c r="Y275" s="34"/>
      <c r="Z275" s="34"/>
      <c r="AA275" s="34"/>
    </row>
    <row r="276" spans="1:27" ht="15">
      <c r="A276" s="65" t="s">
        <v>227</v>
      </c>
      <c r="B276" s="65" t="s">
        <v>394</v>
      </c>
      <c r="C276" s="66" t="s">
        <v>2751</v>
      </c>
      <c r="D276" s="67">
        <v>3</v>
      </c>
      <c r="E276" s="68"/>
      <c r="F276" s="69">
        <v>50</v>
      </c>
      <c r="G276" s="66"/>
      <c r="H276" s="70"/>
      <c r="I276" s="71"/>
      <c r="J276" s="71"/>
      <c r="K276" s="34" t="s">
        <v>65</v>
      </c>
      <c r="L276" s="78">
        <v>276</v>
      </c>
      <c r="M276" s="78"/>
      <c r="N276" s="73"/>
      <c r="O276" s="89" t="s">
        <v>494</v>
      </c>
      <c r="P276">
        <v>1</v>
      </c>
      <c r="Q276" s="88" t="str">
        <f>REPLACE(INDEX(GroupVertices[Group],MATCH(Edges[[#This Row],[Vertex 1]],GroupVertices[Vertex],0)),1,1,"")</f>
        <v>10</v>
      </c>
      <c r="R276" s="88" t="str">
        <f>REPLACE(INDEX(GroupVertices[Group],MATCH(Edges[[#This Row],[Vertex 2]],GroupVertices[Vertex],0)),1,1,"")</f>
        <v>10</v>
      </c>
      <c r="S276" s="34"/>
      <c r="T276" s="34"/>
      <c r="U276" s="34"/>
      <c r="V276" s="34"/>
      <c r="W276" s="34"/>
      <c r="X276" s="34"/>
      <c r="Y276" s="34"/>
      <c r="Z276" s="34"/>
      <c r="AA276" s="34"/>
    </row>
    <row r="277" spans="1:27" ht="15">
      <c r="A277" s="65" t="s">
        <v>227</v>
      </c>
      <c r="B277" s="65" t="s">
        <v>395</v>
      </c>
      <c r="C277" s="66" t="s">
        <v>2751</v>
      </c>
      <c r="D277" s="67">
        <v>3</v>
      </c>
      <c r="E277" s="68"/>
      <c r="F277" s="69">
        <v>50</v>
      </c>
      <c r="G277" s="66"/>
      <c r="H277" s="70"/>
      <c r="I277" s="71"/>
      <c r="J277" s="71"/>
      <c r="K277" s="34" t="s">
        <v>65</v>
      </c>
      <c r="L277" s="78">
        <v>277</v>
      </c>
      <c r="M277" s="78"/>
      <c r="N277" s="73"/>
      <c r="O277" s="89" t="s">
        <v>494</v>
      </c>
      <c r="P277">
        <v>1</v>
      </c>
      <c r="Q277" s="88" t="str">
        <f>REPLACE(INDEX(GroupVertices[Group],MATCH(Edges[[#This Row],[Vertex 1]],GroupVertices[Vertex],0)),1,1,"")</f>
        <v>10</v>
      </c>
      <c r="R277" s="88" t="str">
        <f>REPLACE(INDEX(GroupVertices[Group],MATCH(Edges[[#This Row],[Vertex 2]],GroupVertices[Vertex],0)),1,1,"")</f>
        <v>10</v>
      </c>
      <c r="S277" s="34"/>
      <c r="T277" s="34"/>
      <c r="U277" s="34"/>
      <c r="V277" s="34"/>
      <c r="W277" s="34"/>
      <c r="X277" s="34"/>
      <c r="Y277" s="34"/>
      <c r="Z277" s="34"/>
      <c r="AA277" s="34"/>
    </row>
    <row r="278" spans="1:27" ht="15">
      <c r="A278" s="65" t="s">
        <v>227</v>
      </c>
      <c r="B278" s="65" t="s">
        <v>396</v>
      </c>
      <c r="C278" s="66" t="s">
        <v>2751</v>
      </c>
      <c r="D278" s="67">
        <v>3</v>
      </c>
      <c r="E278" s="68"/>
      <c r="F278" s="69">
        <v>50</v>
      </c>
      <c r="G278" s="66"/>
      <c r="H278" s="70"/>
      <c r="I278" s="71"/>
      <c r="J278" s="71"/>
      <c r="K278" s="34" t="s">
        <v>65</v>
      </c>
      <c r="L278" s="78">
        <v>278</v>
      </c>
      <c r="M278" s="78"/>
      <c r="N278" s="73"/>
      <c r="O278" s="89" t="s">
        <v>494</v>
      </c>
      <c r="P278">
        <v>1</v>
      </c>
      <c r="Q278" s="88" t="str">
        <f>REPLACE(INDEX(GroupVertices[Group],MATCH(Edges[[#This Row],[Vertex 1]],GroupVertices[Vertex],0)),1,1,"")</f>
        <v>10</v>
      </c>
      <c r="R278" s="88" t="str">
        <f>REPLACE(INDEX(GroupVertices[Group],MATCH(Edges[[#This Row],[Vertex 2]],GroupVertices[Vertex],0)),1,1,"")</f>
        <v>10</v>
      </c>
      <c r="S278" s="34"/>
      <c r="T278" s="34"/>
      <c r="U278" s="34"/>
      <c r="V278" s="34"/>
      <c r="W278" s="34"/>
      <c r="X278" s="34"/>
      <c r="Y278" s="34"/>
      <c r="Z278" s="34"/>
      <c r="AA278" s="34"/>
    </row>
    <row r="279" spans="1:27" ht="15">
      <c r="A279" s="65" t="s">
        <v>227</v>
      </c>
      <c r="B279" s="65" t="s">
        <v>397</v>
      </c>
      <c r="C279" s="66" t="s">
        <v>2751</v>
      </c>
      <c r="D279" s="67">
        <v>3</v>
      </c>
      <c r="E279" s="68"/>
      <c r="F279" s="69">
        <v>50</v>
      </c>
      <c r="G279" s="66"/>
      <c r="H279" s="70"/>
      <c r="I279" s="71"/>
      <c r="J279" s="71"/>
      <c r="K279" s="34" t="s">
        <v>65</v>
      </c>
      <c r="L279" s="78">
        <v>279</v>
      </c>
      <c r="M279" s="78"/>
      <c r="N279" s="73"/>
      <c r="O279" s="89" t="s">
        <v>494</v>
      </c>
      <c r="P279">
        <v>1</v>
      </c>
      <c r="Q279" s="88" t="str">
        <f>REPLACE(INDEX(GroupVertices[Group],MATCH(Edges[[#This Row],[Vertex 1]],GroupVertices[Vertex],0)),1,1,"")</f>
        <v>10</v>
      </c>
      <c r="R279" s="88" t="str">
        <f>REPLACE(INDEX(GroupVertices[Group],MATCH(Edges[[#This Row],[Vertex 2]],GroupVertices[Vertex],0)),1,1,"")</f>
        <v>10</v>
      </c>
      <c r="S279" s="34"/>
      <c r="T279" s="34"/>
      <c r="U279" s="34"/>
      <c r="V279" s="34"/>
      <c r="W279" s="34"/>
      <c r="X279" s="34"/>
      <c r="Y279" s="34"/>
      <c r="Z279" s="34"/>
      <c r="AA279" s="34"/>
    </row>
    <row r="280" spans="1:27" ht="15">
      <c r="A280" s="65" t="s">
        <v>227</v>
      </c>
      <c r="B280" s="65" t="s">
        <v>319</v>
      </c>
      <c r="C280" s="66" t="s">
        <v>2751</v>
      </c>
      <c r="D280" s="67">
        <v>3</v>
      </c>
      <c r="E280" s="68"/>
      <c r="F280" s="69">
        <v>50</v>
      </c>
      <c r="G280" s="66"/>
      <c r="H280" s="70"/>
      <c r="I280" s="71"/>
      <c r="J280" s="71"/>
      <c r="K280" s="34" t="s">
        <v>65</v>
      </c>
      <c r="L280" s="78">
        <v>280</v>
      </c>
      <c r="M280" s="78"/>
      <c r="N280" s="73"/>
      <c r="O280" s="89" t="s">
        <v>494</v>
      </c>
      <c r="P280">
        <v>1</v>
      </c>
      <c r="Q280" s="88" t="str">
        <f>REPLACE(INDEX(GroupVertices[Group],MATCH(Edges[[#This Row],[Vertex 1]],GroupVertices[Vertex],0)),1,1,"")</f>
        <v>10</v>
      </c>
      <c r="R280" s="88" t="str">
        <f>REPLACE(INDEX(GroupVertices[Group],MATCH(Edges[[#This Row],[Vertex 2]],GroupVertices[Vertex],0)),1,1,"")</f>
        <v>2</v>
      </c>
      <c r="S280" s="34"/>
      <c r="T280" s="34"/>
      <c r="U280" s="34"/>
      <c r="V280" s="34"/>
      <c r="W280" s="34"/>
      <c r="X280" s="34"/>
      <c r="Y280" s="34"/>
      <c r="Z280" s="34"/>
      <c r="AA280" s="34"/>
    </row>
    <row r="281" spans="1:27" ht="15">
      <c r="A281" s="65" t="s">
        <v>227</v>
      </c>
      <c r="B281" s="65" t="s">
        <v>398</v>
      </c>
      <c r="C281" s="66" t="s">
        <v>2751</v>
      </c>
      <c r="D281" s="67">
        <v>3</v>
      </c>
      <c r="E281" s="68"/>
      <c r="F281" s="69">
        <v>50</v>
      </c>
      <c r="G281" s="66"/>
      <c r="H281" s="70"/>
      <c r="I281" s="71"/>
      <c r="J281" s="71"/>
      <c r="K281" s="34" t="s">
        <v>65</v>
      </c>
      <c r="L281" s="78">
        <v>281</v>
      </c>
      <c r="M281" s="78"/>
      <c r="N281" s="73"/>
      <c r="O281" s="89" t="s">
        <v>494</v>
      </c>
      <c r="P281">
        <v>1</v>
      </c>
      <c r="Q281" s="88" t="str">
        <f>REPLACE(INDEX(GroupVertices[Group],MATCH(Edges[[#This Row],[Vertex 1]],GroupVertices[Vertex],0)),1,1,"")</f>
        <v>10</v>
      </c>
      <c r="R281" s="88" t="str">
        <f>REPLACE(INDEX(GroupVertices[Group],MATCH(Edges[[#This Row],[Vertex 2]],GroupVertices[Vertex],0)),1,1,"")</f>
        <v>1</v>
      </c>
      <c r="S281" s="34"/>
      <c r="T281" s="34"/>
      <c r="U281" s="34"/>
      <c r="V281" s="34"/>
      <c r="W281" s="34"/>
      <c r="X281" s="34"/>
      <c r="Y281" s="34"/>
      <c r="Z281" s="34"/>
      <c r="AA281" s="34"/>
    </row>
    <row r="282" spans="1:27" ht="15">
      <c r="A282" s="65" t="s">
        <v>227</v>
      </c>
      <c r="B282" s="65" t="s">
        <v>315</v>
      </c>
      <c r="C282" s="66" t="s">
        <v>2751</v>
      </c>
      <c r="D282" s="67">
        <v>3</v>
      </c>
      <c r="E282" s="68"/>
      <c r="F282" s="69">
        <v>50</v>
      </c>
      <c r="G282" s="66"/>
      <c r="H282" s="70"/>
      <c r="I282" s="71"/>
      <c r="J282" s="71"/>
      <c r="K282" s="34" t="s">
        <v>65</v>
      </c>
      <c r="L282" s="78">
        <v>282</v>
      </c>
      <c r="M282" s="78"/>
      <c r="N282" s="73"/>
      <c r="O282" s="89" t="s">
        <v>494</v>
      </c>
      <c r="P282">
        <v>1</v>
      </c>
      <c r="Q282" s="88" t="str">
        <f>REPLACE(INDEX(GroupVertices[Group],MATCH(Edges[[#This Row],[Vertex 1]],GroupVertices[Vertex],0)),1,1,"")</f>
        <v>10</v>
      </c>
      <c r="R282" s="88" t="str">
        <f>REPLACE(INDEX(GroupVertices[Group],MATCH(Edges[[#This Row],[Vertex 2]],GroupVertices[Vertex],0)),1,1,"")</f>
        <v>2</v>
      </c>
      <c r="S282" s="34"/>
      <c r="T282" s="34"/>
      <c r="U282" s="34"/>
      <c r="V282" s="34"/>
      <c r="W282" s="34"/>
      <c r="X282" s="34"/>
      <c r="Y282" s="34"/>
      <c r="Z282" s="34"/>
      <c r="AA282" s="34"/>
    </row>
    <row r="283" spans="1:27" ht="15">
      <c r="A283" s="65" t="s">
        <v>228</v>
      </c>
      <c r="B283" s="65" t="s">
        <v>399</v>
      </c>
      <c r="C283" s="66" t="s">
        <v>2751</v>
      </c>
      <c r="D283" s="67">
        <v>3</v>
      </c>
      <c r="E283" s="68"/>
      <c r="F283" s="69">
        <v>50</v>
      </c>
      <c r="G283" s="66"/>
      <c r="H283" s="70"/>
      <c r="I283" s="71"/>
      <c r="J283" s="71"/>
      <c r="K283" s="34" t="s">
        <v>65</v>
      </c>
      <c r="L283" s="78">
        <v>283</v>
      </c>
      <c r="M283" s="78"/>
      <c r="N283" s="73"/>
      <c r="O283" s="89" t="s">
        <v>494</v>
      </c>
      <c r="P283">
        <v>1</v>
      </c>
      <c r="Q283" s="88" t="str">
        <f>REPLACE(INDEX(GroupVertices[Group],MATCH(Edges[[#This Row],[Vertex 1]],GroupVertices[Vertex],0)),1,1,"")</f>
        <v>9</v>
      </c>
      <c r="R283" s="88" t="str">
        <f>REPLACE(INDEX(GroupVertices[Group],MATCH(Edges[[#This Row],[Vertex 2]],GroupVertices[Vertex],0)),1,1,"")</f>
        <v>9</v>
      </c>
      <c r="S283" s="34"/>
      <c r="T283" s="34"/>
      <c r="U283" s="34"/>
      <c r="V283" s="34"/>
      <c r="W283" s="34"/>
      <c r="X283" s="34"/>
      <c r="Y283" s="34"/>
      <c r="Z283" s="34"/>
      <c r="AA283" s="34"/>
    </row>
    <row r="284" spans="1:27" ht="15">
      <c r="A284" s="65" t="s">
        <v>228</v>
      </c>
      <c r="B284" s="65" t="s">
        <v>400</v>
      </c>
      <c r="C284" s="66" t="s">
        <v>2751</v>
      </c>
      <c r="D284" s="67">
        <v>3</v>
      </c>
      <c r="E284" s="68"/>
      <c r="F284" s="69">
        <v>50</v>
      </c>
      <c r="G284" s="66"/>
      <c r="H284" s="70"/>
      <c r="I284" s="71"/>
      <c r="J284" s="71"/>
      <c r="K284" s="34" t="s">
        <v>65</v>
      </c>
      <c r="L284" s="78">
        <v>284</v>
      </c>
      <c r="M284" s="78"/>
      <c r="N284" s="73"/>
      <c r="O284" s="89" t="s">
        <v>494</v>
      </c>
      <c r="P284">
        <v>1</v>
      </c>
      <c r="Q284" s="88" t="str">
        <f>REPLACE(INDEX(GroupVertices[Group],MATCH(Edges[[#This Row],[Vertex 1]],GroupVertices[Vertex],0)),1,1,"")</f>
        <v>9</v>
      </c>
      <c r="R284" s="88" t="str">
        <f>REPLACE(INDEX(GroupVertices[Group],MATCH(Edges[[#This Row],[Vertex 2]],GroupVertices[Vertex],0)),1,1,"")</f>
        <v>9</v>
      </c>
      <c r="S284" s="34"/>
      <c r="T284" s="34"/>
      <c r="U284" s="34"/>
      <c r="V284" s="34"/>
      <c r="W284" s="34"/>
      <c r="X284" s="34"/>
      <c r="Y284" s="34"/>
      <c r="Z284" s="34"/>
      <c r="AA284" s="34"/>
    </row>
    <row r="285" spans="1:27" ht="15">
      <c r="A285" s="65" t="s">
        <v>228</v>
      </c>
      <c r="B285" s="65" t="s">
        <v>401</v>
      </c>
      <c r="C285" s="66" t="s">
        <v>2751</v>
      </c>
      <c r="D285" s="67">
        <v>3</v>
      </c>
      <c r="E285" s="68"/>
      <c r="F285" s="69">
        <v>50</v>
      </c>
      <c r="G285" s="66"/>
      <c r="H285" s="70"/>
      <c r="I285" s="71"/>
      <c r="J285" s="71"/>
      <c r="K285" s="34" t="s">
        <v>65</v>
      </c>
      <c r="L285" s="78">
        <v>285</v>
      </c>
      <c r="M285" s="78"/>
      <c r="N285" s="73"/>
      <c r="O285" s="89" t="s">
        <v>494</v>
      </c>
      <c r="P285">
        <v>1</v>
      </c>
      <c r="Q285" s="88" t="str">
        <f>REPLACE(INDEX(GroupVertices[Group],MATCH(Edges[[#This Row],[Vertex 1]],GroupVertices[Vertex],0)),1,1,"")</f>
        <v>9</v>
      </c>
      <c r="R285" s="88" t="str">
        <f>REPLACE(INDEX(GroupVertices[Group],MATCH(Edges[[#This Row],[Vertex 2]],GroupVertices[Vertex],0)),1,1,"")</f>
        <v>9</v>
      </c>
      <c r="S285" s="34"/>
      <c r="T285" s="34"/>
      <c r="U285" s="34"/>
      <c r="V285" s="34"/>
      <c r="W285" s="34"/>
      <c r="X285" s="34"/>
      <c r="Y285" s="34"/>
      <c r="Z285" s="34"/>
      <c r="AA285" s="34"/>
    </row>
    <row r="286" spans="1:27" ht="15">
      <c r="A286" s="65" t="s">
        <v>228</v>
      </c>
      <c r="B286" s="65" t="s">
        <v>402</v>
      </c>
      <c r="C286" s="66" t="s">
        <v>2751</v>
      </c>
      <c r="D286" s="67">
        <v>3</v>
      </c>
      <c r="E286" s="68"/>
      <c r="F286" s="69">
        <v>50</v>
      </c>
      <c r="G286" s="66"/>
      <c r="H286" s="70"/>
      <c r="I286" s="71"/>
      <c r="J286" s="71"/>
      <c r="K286" s="34" t="s">
        <v>65</v>
      </c>
      <c r="L286" s="78">
        <v>286</v>
      </c>
      <c r="M286" s="78"/>
      <c r="N286" s="73"/>
      <c r="O286" s="89" t="s">
        <v>494</v>
      </c>
      <c r="P286">
        <v>1</v>
      </c>
      <c r="Q286" s="88" t="str">
        <f>REPLACE(INDEX(GroupVertices[Group],MATCH(Edges[[#This Row],[Vertex 1]],GroupVertices[Vertex],0)),1,1,"")</f>
        <v>9</v>
      </c>
      <c r="R286" s="88" t="str">
        <f>REPLACE(INDEX(GroupVertices[Group],MATCH(Edges[[#This Row],[Vertex 2]],GroupVertices[Vertex],0)),1,1,"")</f>
        <v>9</v>
      </c>
      <c r="S286" s="34"/>
      <c r="T286" s="34"/>
      <c r="U286" s="34"/>
      <c r="V286" s="34"/>
      <c r="W286" s="34"/>
      <c r="X286" s="34"/>
      <c r="Y286" s="34"/>
      <c r="Z286" s="34"/>
      <c r="AA286" s="34"/>
    </row>
    <row r="287" spans="1:27" ht="15">
      <c r="A287" s="65" t="s">
        <v>228</v>
      </c>
      <c r="B287" s="65" t="s">
        <v>403</v>
      </c>
      <c r="C287" s="66" t="s">
        <v>2751</v>
      </c>
      <c r="D287" s="67">
        <v>3</v>
      </c>
      <c r="E287" s="68"/>
      <c r="F287" s="69">
        <v>50</v>
      </c>
      <c r="G287" s="66"/>
      <c r="H287" s="70"/>
      <c r="I287" s="71"/>
      <c r="J287" s="71"/>
      <c r="K287" s="34" t="s">
        <v>65</v>
      </c>
      <c r="L287" s="78">
        <v>287</v>
      </c>
      <c r="M287" s="78"/>
      <c r="N287" s="73"/>
      <c r="O287" s="89" t="s">
        <v>494</v>
      </c>
      <c r="P287">
        <v>1</v>
      </c>
      <c r="Q287" s="88" t="str">
        <f>REPLACE(INDEX(GroupVertices[Group],MATCH(Edges[[#This Row],[Vertex 1]],GroupVertices[Vertex],0)),1,1,"")</f>
        <v>9</v>
      </c>
      <c r="R287" s="88" t="str">
        <f>REPLACE(INDEX(GroupVertices[Group],MATCH(Edges[[#This Row],[Vertex 2]],GroupVertices[Vertex],0)),1,1,"")</f>
        <v>9</v>
      </c>
      <c r="S287" s="34"/>
      <c r="T287" s="34"/>
      <c r="U287" s="34"/>
      <c r="V287" s="34"/>
      <c r="W287" s="34"/>
      <c r="X287" s="34"/>
      <c r="Y287" s="34"/>
      <c r="Z287" s="34"/>
      <c r="AA287" s="34"/>
    </row>
    <row r="288" spans="1:27" ht="15">
      <c r="A288" s="65" t="s">
        <v>228</v>
      </c>
      <c r="B288" s="65" t="s">
        <v>404</v>
      </c>
      <c r="C288" s="66" t="s">
        <v>2751</v>
      </c>
      <c r="D288" s="67">
        <v>3</v>
      </c>
      <c r="E288" s="68"/>
      <c r="F288" s="69">
        <v>50</v>
      </c>
      <c r="G288" s="66"/>
      <c r="H288" s="70"/>
      <c r="I288" s="71"/>
      <c r="J288" s="71"/>
      <c r="K288" s="34" t="s">
        <v>65</v>
      </c>
      <c r="L288" s="78">
        <v>288</v>
      </c>
      <c r="M288" s="78"/>
      <c r="N288" s="73"/>
      <c r="O288" s="89" t="s">
        <v>494</v>
      </c>
      <c r="P288">
        <v>1</v>
      </c>
      <c r="Q288" s="88" t="str">
        <f>REPLACE(INDEX(GroupVertices[Group],MATCH(Edges[[#This Row],[Vertex 1]],GroupVertices[Vertex],0)),1,1,"")</f>
        <v>9</v>
      </c>
      <c r="R288" s="88" t="str">
        <f>REPLACE(INDEX(GroupVertices[Group],MATCH(Edges[[#This Row],[Vertex 2]],GroupVertices[Vertex],0)),1,1,"")</f>
        <v>9</v>
      </c>
      <c r="S288" s="34"/>
      <c r="T288" s="34"/>
      <c r="U288" s="34"/>
      <c r="V288" s="34"/>
      <c r="W288" s="34"/>
      <c r="X288" s="34"/>
      <c r="Y288" s="34"/>
      <c r="Z288" s="34"/>
      <c r="AA288" s="34"/>
    </row>
    <row r="289" spans="1:27" ht="15">
      <c r="A289" s="65" t="s">
        <v>228</v>
      </c>
      <c r="B289" s="65" t="s">
        <v>405</v>
      </c>
      <c r="C289" s="66" t="s">
        <v>2751</v>
      </c>
      <c r="D289" s="67">
        <v>3</v>
      </c>
      <c r="E289" s="68"/>
      <c r="F289" s="69">
        <v>50</v>
      </c>
      <c r="G289" s="66"/>
      <c r="H289" s="70"/>
      <c r="I289" s="71"/>
      <c r="J289" s="71"/>
      <c r="K289" s="34" t="s">
        <v>65</v>
      </c>
      <c r="L289" s="78">
        <v>289</v>
      </c>
      <c r="M289" s="78"/>
      <c r="N289" s="73"/>
      <c r="O289" s="89" t="s">
        <v>494</v>
      </c>
      <c r="P289">
        <v>1</v>
      </c>
      <c r="Q289" s="88" t="str">
        <f>REPLACE(INDEX(GroupVertices[Group],MATCH(Edges[[#This Row],[Vertex 1]],GroupVertices[Vertex],0)),1,1,"")</f>
        <v>9</v>
      </c>
      <c r="R289" s="88" t="str">
        <f>REPLACE(INDEX(GroupVertices[Group],MATCH(Edges[[#This Row],[Vertex 2]],GroupVertices[Vertex],0)),1,1,"")</f>
        <v>9</v>
      </c>
      <c r="S289" s="34"/>
      <c r="T289" s="34"/>
      <c r="U289" s="34"/>
      <c r="V289" s="34"/>
      <c r="W289" s="34"/>
      <c r="X289" s="34"/>
      <c r="Y289" s="34"/>
      <c r="Z289" s="34"/>
      <c r="AA289" s="34"/>
    </row>
    <row r="290" spans="1:27" ht="15">
      <c r="A290" s="65" t="s">
        <v>228</v>
      </c>
      <c r="B290" s="65" t="s">
        <v>406</v>
      </c>
      <c r="C290" s="66" t="s">
        <v>2751</v>
      </c>
      <c r="D290" s="67">
        <v>3</v>
      </c>
      <c r="E290" s="68"/>
      <c r="F290" s="69">
        <v>50</v>
      </c>
      <c r="G290" s="66"/>
      <c r="H290" s="70"/>
      <c r="I290" s="71"/>
      <c r="J290" s="71"/>
      <c r="K290" s="34" t="s">
        <v>65</v>
      </c>
      <c r="L290" s="78">
        <v>290</v>
      </c>
      <c r="M290" s="78"/>
      <c r="N290" s="73"/>
      <c r="O290" s="89" t="s">
        <v>494</v>
      </c>
      <c r="P290">
        <v>1</v>
      </c>
      <c r="Q290" s="88" t="str">
        <f>REPLACE(INDEX(GroupVertices[Group],MATCH(Edges[[#This Row],[Vertex 1]],GroupVertices[Vertex],0)),1,1,"")</f>
        <v>9</v>
      </c>
      <c r="R290" s="88" t="str">
        <f>REPLACE(INDEX(GroupVertices[Group],MATCH(Edges[[#This Row],[Vertex 2]],GroupVertices[Vertex],0)),1,1,"")</f>
        <v>9</v>
      </c>
      <c r="S290" s="34"/>
      <c r="T290" s="34"/>
      <c r="U290" s="34"/>
      <c r="V290" s="34"/>
      <c r="W290" s="34"/>
      <c r="X290" s="34"/>
      <c r="Y290" s="34"/>
      <c r="Z290" s="34"/>
      <c r="AA290" s="34"/>
    </row>
    <row r="291" spans="1:27" ht="15">
      <c r="A291" s="65" t="s">
        <v>228</v>
      </c>
      <c r="B291" s="65" t="s">
        <v>407</v>
      </c>
      <c r="C291" s="66" t="s">
        <v>2751</v>
      </c>
      <c r="D291" s="67">
        <v>3</v>
      </c>
      <c r="E291" s="68"/>
      <c r="F291" s="69">
        <v>50</v>
      </c>
      <c r="G291" s="66"/>
      <c r="H291" s="70"/>
      <c r="I291" s="71"/>
      <c r="J291" s="71"/>
      <c r="K291" s="34" t="s">
        <v>65</v>
      </c>
      <c r="L291" s="78">
        <v>291</v>
      </c>
      <c r="M291" s="78"/>
      <c r="N291" s="73"/>
      <c r="O291" s="89" t="s">
        <v>494</v>
      </c>
      <c r="P291">
        <v>1</v>
      </c>
      <c r="Q291" s="88" t="str">
        <f>REPLACE(INDEX(GroupVertices[Group],MATCH(Edges[[#This Row],[Vertex 1]],GroupVertices[Vertex],0)),1,1,"")</f>
        <v>9</v>
      </c>
      <c r="R291" s="88" t="str">
        <f>REPLACE(INDEX(GroupVertices[Group],MATCH(Edges[[#This Row],[Vertex 2]],GroupVertices[Vertex],0)),1,1,"")</f>
        <v>9</v>
      </c>
      <c r="S291" s="34"/>
      <c r="T291" s="34"/>
      <c r="U291" s="34"/>
      <c r="V291" s="34"/>
      <c r="W291" s="34"/>
      <c r="X291" s="34"/>
      <c r="Y291" s="34"/>
      <c r="Z291" s="34"/>
      <c r="AA291" s="34"/>
    </row>
    <row r="292" spans="1:27" ht="15">
      <c r="A292" s="65" t="s">
        <v>228</v>
      </c>
      <c r="B292" s="65" t="s">
        <v>408</v>
      </c>
      <c r="C292" s="66" t="s">
        <v>2751</v>
      </c>
      <c r="D292" s="67">
        <v>3</v>
      </c>
      <c r="E292" s="68"/>
      <c r="F292" s="69">
        <v>50</v>
      </c>
      <c r="G292" s="66"/>
      <c r="H292" s="70"/>
      <c r="I292" s="71"/>
      <c r="J292" s="71"/>
      <c r="K292" s="34" t="s">
        <v>65</v>
      </c>
      <c r="L292" s="78">
        <v>292</v>
      </c>
      <c r="M292" s="78"/>
      <c r="N292" s="73"/>
      <c r="O292" s="89" t="s">
        <v>494</v>
      </c>
      <c r="P292">
        <v>1</v>
      </c>
      <c r="Q292" s="88" t="str">
        <f>REPLACE(INDEX(GroupVertices[Group],MATCH(Edges[[#This Row],[Vertex 1]],GroupVertices[Vertex],0)),1,1,"")</f>
        <v>9</v>
      </c>
      <c r="R292" s="88" t="str">
        <f>REPLACE(INDEX(GroupVertices[Group],MATCH(Edges[[#This Row],[Vertex 2]],GroupVertices[Vertex],0)),1,1,"")</f>
        <v>9</v>
      </c>
      <c r="S292" s="34"/>
      <c r="T292" s="34"/>
      <c r="U292" s="34"/>
      <c r="V292" s="34"/>
      <c r="W292" s="34"/>
      <c r="X292" s="34"/>
      <c r="Y292" s="34"/>
      <c r="Z292" s="34"/>
      <c r="AA292" s="34"/>
    </row>
    <row r="293" spans="1:27" ht="15">
      <c r="A293" s="65" t="s">
        <v>228</v>
      </c>
      <c r="B293" s="65" t="s">
        <v>409</v>
      </c>
      <c r="C293" s="66" t="s">
        <v>2751</v>
      </c>
      <c r="D293" s="67">
        <v>3</v>
      </c>
      <c r="E293" s="68"/>
      <c r="F293" s="69">
        <v>50</v>
      </c>
      <c r="G293" s="66"/>
      <c r="H293" s="70"/>
      <c r="I293" s="71"/>
      <c r="J293" s="71"/>
      <c r="K293" s="34" t="s">
        <v>65</v>
      </c>
      <c r="L293" s="78">
        <v>293</v>
      </c>
      <c r="M293" s="78"/>
      <c r="N293" s="73"/>
      <c r="O293" s="89" t="s">
        <v>494</v>
      </c>
      <c r="P293">
        <v>1</v>
      </c>
      <c r="Q293" s="88" t="str">
        <f>REPLACE(INDEX(GroupVertices[Group],MATCH(Edges[[#This Row],[Vertex 1]],GroupVertices[Vertex],0)),1,1,"")</f>
        <v>9</v>
      </c>
      <c r="R293" s="88" t="str">
        <f>REPLACE(INDEX(GroupVertices[Group],MATCH(Edges[[#This Row],[Vertex 2]],GroupVertices[Vertex],0)),1,1,"")</f>
        <v>9</v>
      </c>
      <c r="S293" s="34"/>
      <c r="T293" s="34"/>
      <c r="U293" s="34"/>
      <c r="V293" s="34"/>
      <c r="W293" s="34"/>
      <c r="X293" s="34"/>
      <c r="Y293" s="34"/>
      <c r="Z293" s="34"/>
      <c r="AA293" s="34"/>
    </row>
    <row r="294" spans="1:27" ht="15">
      <c r="A294" s="65" t="s">
        <v>228</v>
      </c>
      <c r="B294" s="65" t="s">
        <v>410</v>
      </c>
      <c r="C294" s="66" t="s">
        <v>2751</v>
      </c>
      <c r="D294" s="67">
        <v>3</v>
      </c>
      <c r="E294" s="68"/>
      <c r="F294" s="69">
        <v>50</v>
      </c>
      <c r="G294" s="66"/>
      <c r="H294" s="70"/>
      <c r="I294" s="71"/>
      <c r="J294" s="71"/>
      <c r="K294" s="34" t="s">
        <v>65</v>
      </c>
      <c r="L294" s="78">
        <v>294</v>
      </c>
      <c r="M294" s="78"/>
      <c r="N294" s="73"/>
      <c r="O294" s="89" t="s">
        <v>494</v>
      </c>
      <c r="P294">
        <v>1</v>
      </c>
      <c r="Q294" s="88" t="str">
        <f>REPLACE(INDEX(GroupVertices[Group],MATCH(Edges[[#This Row],[Vertex 1]],GroupVertices[Vertex],0)),1,1,"")</f>
        <v>9</v>
      </c>
      <c r="R294" s="88" t="str">
        <f>REPLACE(INDEX(GroupVertices[Group],MATCH(Edges[[#This Row],[Vertex 2]],GroupVertices[Vertex],0)),1,1,"")</f>
        <v>9</v>
      </c>
      <c r="S294" s="34"/>
      <c r="T294" s="34"/>
      <c r="U294" s="34"/>
      <c r="V294" s="34"/>
      <c r="W294" s="34"/>
      <c r="X294" s="34"/>
      <c r="Y294" s="34"/>
      <c r="Z294" s="34"/>
      <c r="AA294" s="34"/>
    </row>
    <row r="295" spans="1:27" ht="15">
      <c r="A295" s="65" t="s">
        <v>228</v>
      </c>
      <c r="B295" s="65" t="s">
        <v>411</v>
      </c>
      <c r="C295" s="66" t="s">
        <v>2751</v>
      </c>
      <c r="D295" s="67">
        <v>3</v>
      </c>
      <c r="E295" s="68"/>
      <c r="F295" s="69">
        <v>50</v>
      </c>
      <c r="G295" s="66"/>
      <c r="H295" s="70"/>
      <c r="I295" s="71"/>
      <c r="J295" s="71"/>
      <c r="K295" s="34" t="s">
        <v>65</v>
      </c>
      <c r="L295" s="78">
        <v>295</v>
      </c>
      <c r="M295" s="78"/>
      <c r="N295" s="73"/>
      <c r="O295" s="89" t="s">
        <v>494</v>
      </c>
      <c r="P295">
        <v>1</v>
      </c>
      <c r="Q295" s="88" t="str">
        <f>REPLACE(INDEX(GroupVertices[Group],MATCH(Edges[[#This Row],[Vertex 1]],GroupVertices[Vertex],0)),1,1,"")</f>
        <v>9</v>
      </c>
      <c r="R295" s="88" t="str">
        <f>REPLACE(INDEX(GroupVertices[Group],MATCH(Edges[[#This Row],[Vertex 2]],GroupVertices[Vertex],0)),1,1,"")</f>
        <v>9</v>
      </c>
      <c r="S295" s="34"/>
      <c r="T295" s="34"/>
      <c r="U295" s="34"/>
      <c r="V295" s="34"/>
      <c r="W295" s="34"/>
      <c r="X295" s="34"/>
      <c r="Y295" s="34"/>
      <c r="Z295" s="34"/>
      <c r="AA295" s="34"/>
    </row>
    <row r="296" spans="1:27" ht="15">
      <c r="A296" s="65" t="s">
        <v>228</v>
      </c>
      <c r="B296" s="65" t="s">
        <v>412</v>
      </c>
      <c r="C296" s="66" t="s">
        <v>2751</v>
      </c>
      <c r="D296" s="67">
        <v>3</v>
      </c>
      <c r="E296" s="68"/>
      <c r="F296" s="69">
        <v>50</v>
      </c>
      <c r="G296" s="66"/>
      <c r="H296" s="70"/>
      <c r="I296" s="71"/>
      <c r="J296" s="71"/>
      <c r="K296" s="34" t="s">
        <v>65</v>
      </c>
      <c r="L296" s="78">
        <v>296</v>
      </c>
      <c r="M296" s="78"/>
      <c r="N296" s="73"/>
      <c r="O296" s="89" t="s">
        <v>494</v>
      </c>
      <c r="P296">
        <v>1</v>
      </c>
      <c r="Q296" s="88" t="str">
        <f>REPLACE(INDEX(GroupVertices[Group],MATCH(Edges[[#This Row],[Vertex 1]],GroupVertices[Vertex],0)),1,1,"")</f>
        <v>9</v>
      </c>
      <c r="R296" s="88" t="str">
        <f>REPLACE(INDEX(GroupVertices[Group],MATCH(Edges[[#This Row],[Vertex 2]],GroupVertices[Vertex],0)),1,1,"")</f>
        <v>9</v>
      </c>
      <c r="S296" s="34"/>
      <c r="T296" s="34"/>
      <c r="U296" s="34"/>
      <c r="V296" s="34"/>
      <c r="W296" s="34"/>
      <c r="X296" s="34"/>
      <c r="Y296" s="34"/>
      <c r="Z296" s="34"/>
      <c r="AA296" s="34"/>
    </row>
    <row r="297" spans="1:27" ht="15">
      <c r="A297" s="65" t="s">
        <v>228</v>
      </c>
      <c r="B297" s="65" t="s">
        <v>413</v>
      </c>
      <c r="C297" s="66" t="s">
        <v>2751</v>
      </c>
      <c r="D297" s="67">
        <v>3</v>
      </c>
      <c r="E297" s="68"/>
      <c r="F297" s="69">
        <v>50</v>
      </c>
      <c r="G297" s="66"/>
      <c r="H297" s="70"/>
      <c r="I297" s="71"/>
      <c r="J297" s="71"/>
      <c r="K297" s="34" t="s">
        <v>65</v>
      </c>
      <c r="L297" s="78">
        <v>297</v>
      </c>
      <c r="M297" s="78"/>
      <c r="N297" s="73"/>
      <c r="O297" s="89" t="s">
        <v>494</v>
      </c>
      <c r="P297">
        <v>1</v>
      </c>
      <c r="Q297" s="88" t="str">
        <f>REPLACE(INDEX(GroupVertices[Group],MATCH(Edges[[#This Row],[Vertex 1]],GroupVertices[Vertex],0)),1,1,"")</f>
        <v>9</v>
      </c>
      <c r="R297" s="88" t="str">
        <f>REPLACE(INDEX(GroupVertices[Group],MATCH(Edges[[#This Row],[Vertex 2]],GroupVertices[Vertex],0)),1,1,"")</f>
        <v>9</v>
      </c>
      <c r="S297" s="34"/>
      <c r="T297" s="34"/>
      <c r="U297" s="34"/>
      <c r="V297" s="34"/>
      <c r="W297" s="34"/>
      <c r="X297" s="34"/>
      <c r="Y297" s="34"/>
      <c r="Z297" s="34"/>
      <c r="AA297" s="34"/>
    </row>
    <row r="298" spans="1:27" ht="15">
      <c r="A298" s="65" t="s">
        <v>228</v>
      </c>
      <c r="B298" s="65" t="s">
        <v>414</v>
      </c>
      <c r="C298" s="66" t="s">
        <v>2751</v>
      </c>
      <c r="D298" s="67">
        <v>3</v>
      </c>
      <c r="E298" s="68"/>
      <c r="F298" s="69">
        <v>50</v>
      </c>
      <c r="G298" s="66"/>
      <c r="H298" s="70"/>
      <c r="I298" s="71"/>
      <c r="J298" s="71"/>
      <c r="K298" s="34" t="s">
        <v>65</v>
      </c>
      <c r="L298" s="78">
        <v>298</v>
      </c>
      <c r="M298" s="78"/>
      <c r="N298" s="73"/>
      <c r="O298" s="89" t="s">
        <v>494</v>
      </c>
      <c r="P298">
        <v>1</v>
      </c>
      <c r="Q298" s="88" t="str">
        <f>REPLACE(INDEX(GroupVertices[Group],MATCH(Edges[[#This Row],[Vertex 1]],GroupVertices[Vertex],0)),1,1,"")</f>
        <v>9</v>
      </c>
      <c r="R298" s="88" t="str">
        <f>REPLACE(INDEX(GroupVertices[Group],MATCH(Edges[[#This Row],[Vertex 2]],GroupVertices[Vertex],0)),1,1,"")</f>
        <v>9</v>
      </c>
      <c r="S298" s="34"/>
      <c r="T298" s="34"/>
      <c r="U298" s="34"/>
      <c r="V298" s="34"/>
      <c r="W298" s="34"/>
      <c r="X298" s="34"/>
      <c r="Y298" s="34"/>
      <c r="Z298" s="34"/>
      <c r="AA298" s="34"/>
    </row>
    <row r="299" spans="1:27" ht="15">
      <c r="A299" s="65" t="s">
        <v>228</v>
      </c>
      <c r="B299" s="65" t="s">
        <v>415</v>
      </c>
      <c r="C299" s="66" t="s">
        <v>2751</v>
      </c>
      <c r="D299" s="67">
        <v>3</v>
      </c>
      <c r="E299" s="68"/>
      <c r="F299" s="69">
        <v>50</v>
      </c>
      <c r="G299" s="66"/>
      <c r="H299" s="70"/>
      <c r="I299" s="71"/>
      <c r="J299" s="71"/>
      <c r="K299" s="34" t="s">
        <v>65</v>
      </c>
      <c r="L299" s="78">
        <v>299</v>
      </c>
      <c r="M299" s="78"/>
      <c r="N299" s="73"/>
      <c r="O299" s="89" t="s">
        <v>494</v>
      </c>
      <c r="P299">
        <v>1</v>
      </c>
      <c r="Q299" s="88" t="str">
        <f>REPLACE(INDEX(GroupVertices[Group],MATCH(Edges[[#This Row],[Vertex 1]],GroupVertices[Vertex],0)),1,1,"")</f>
        <v>9</v>
      </c>
      <c r="R299" s="88" t="str">
        <f>REPLACE(INDEX(GroupVertices[Group],MATCH(Edges[[#This Row],[Vertex 2]],GroupVertices[Vertex],0)),1,1,"")</f>
        <v>9</v>
      </c>
      <c r="S299" s="34"/>
      <c r="T299" s="34"/>
      <c r="U299" s="34"/>
      <c r="V299" s="34"/>
      <c r="W299" s="34"/>
      <c r="X299" s="34"/>
      <c r="Y299" s="34"/>
      <c r="Z299" s="34"/>
      <c r="AA299" s="34"/>
    </row>
    <row r="300" spans="1:27" ht="15">
      <c r="A300" s="65" t="s">
        <v>228</v>
      </c>
      <c r="B300" s="65" t="s">
        <v>416</v>
      </c>
      <c r="C300" s="66" t="s">
        <v>2751</v>
      </c>
      <c r="D300" s="67">
        <v>3</v>
      </c>
      <c r="E300" s="68"/>
      <c r="F300" s="69">
        <v>50</v>
      </c>
      <c r="G300" s="66"/>
      <c r="H300" s="70"/>
      <c r="I300" s="71"/>
      <c r="J300" s="71"/>
      <c r="K300" s="34" t="s">
        <v>65</v>
      </c>
      <c r="L300" s="78">
        <v>300</v>
      </c>
      <c r="M300" s="78"/>
      <c r="N300" s="73"/>
      <c r="O300" s="89" t="s">
        <v>494</v>
      </c>
      <c r="P300">
        <v>1</v>
      </c>
      <c r="Q300" s="88" t="str">
        <f>REPLACE(INDEX(GroupVertices[Group],MATCH(Edges[[#This Row],[Vertex 1]],GroupVertices[Vertex],0)),1,1,"")</f>
        <v>9</v>
      </c>
      <c r="R300" s="88" t="str">
        <f>REPLACE(INDEX(GroupVertices[Group],MATCH(Edges[[#This Row],[Vertex 2]],GroupVertices[Vertex],0)),1,1,"")</f>
        <v>9</v>
      </c>
      <c r="S300" s="34"/>
      <c r="T300" s="34"/>
      <c r="U300" s="34"/>
      <c r="V300" s="34"/>
      <c r="W300" s="34"/>
      <c r="X300" s="34"/>
      <c r="Y300" s="34"/>
      <c r="Z300" s="34"/>
      <c r="AA300" s="34"/>
    </row>
    <row r="301" spans="1:27" ht="15">
      <c r="A301" s="65" t="s">
        <v>228</v>
      </c>
      <c r="B301" s="65" t="s">
        <v>417</v>
      </c>
      <c r="C301" s="66" t="s">
        <v>2751</v>
      </c>
      <c r="D301" s="67">
        <v>3</v>
      </c>
      <c r="E301" s="68"/>
      <c r="F301" s="69">
        <v>50</v>
      </c>
      <c r="G301" s="66"/>
      <c r="H301" s="70"/>
      <c r="I301" s="71"/>
      <c r="J301" s="71"/>
      <c r="K301" s="34" t="s">
        <v>65</v>
      </c>
      <c r="L301" s="78">
        <v>301</v>
      </c>
      <c r="M301" s="78"/>
      <c r="N301" s="73"/>
      <c r="O301" s="89" t="s">
        <v>494</v>
      </c>
      <c r="P301">
        <v>1</v>
      </c>
      <c r="Q301" s="88" t="str">
        <f>REPLACE(INDEX(GroupVertices[Group],MATCH(Edges[[#This Row],[Vertex 1]],GroupVertices[Vertex],0)),1,1,"")</f>
        <v>9</v>
      </c>
      <c r="R301" s="88" t="str">
        <f>REPLACE(INDEX(GroupVertices[Group],MATCH(Edges[[#This Row],[Vertex 2]],GroupVertices[Vertex],0)),1,1,"")</f>
        <v>9</v>
      </c>
      <c r="S301" s="34"/>
      <c r="T301" s="34"/>
      <c r="U301" s="34"/>
      <c r="V301" s="34"/>
      <c r="W301" s="34"/>
      <c r="X301" s="34"/>
      <c r="Y301" s="34"/>
      <c r="Z301" s="34"/>
      <c r="AA301" s="34"/>
    </row>
    <row r="302" spans="1:27" ht="15">
      <c r="A302" s="65" t="s">
        <v>228</v>
      </c>
      <c r="B302" s="65" t="s">
        <v>418</v>
      </c>
      <c r="C302" s="66" t="s">
        <v>2751</v>
      </c>
      <c r="D302" s="67">
        <v>3</v>
      </c>
      <c r="E302" s="68"/>
      <c r="F302" s="69">
        <v>50</v>
      </c>
      <c r="G302" s="66"/>
      <c r="H302" s="70"/>
      <c r="I302" s="71"/>
      <c r="J302" s="71"/>
      <c r="K302" s="34" t="s">
        <v>65</v>
      </c>
      <c r="L302" s="78">
        <v>302</v>
      </c>
      <c r="M302" s="78"/>
      <c r="N302" s="73"/>
      <c r="O302" s="89" t="s">
        <v>494</v>
      </c>
      <c r="P302">
        <v>1</v>
      </c>
      <c r="Q302" s="88" t="str">
        <f>REPLACE(INDEX(GroupVertices[Group],MATCH(Edges[[#This Row],[Vertex 1]],GroupVertices[Vertex],0)),1,1,"")</f>
        <v>9</v>
      </c>
      <c r="R302" s="88" t="str">
        <f>REPLACE(INDEX(GroupVertices[Group],MATCH(Edges[[#This Row],[Vertex 2]],GroupVertices[Vertex],0)),1,1,"")</f>
        <v>9</v>
      </c>
      <c r="S302" s="34"/>
      <c r="T302" s="34"/>
      <c r="U302" s="34"/>
      <c r="V302" s="34"/>
      <c r="W302" s="34"/>
      <c r="X302" s="34"/>
      <c r="Y302" s="34"/>
      <c r="Z302" s="34"/>
      <c r="AA302" s="34"/>
    </row>
    <row r="303" spans="1:27" ht="15">
      <c r="A303" s="65" t="s">
        <v>229</v>
      </c>
      <c r="B303" s="65" t="s">
        <v>419</v>
      </c>
      <c r="C303" s="66" t="s">
        <v>2751</v>
      </c>
      <c r="D303" s="67">
        <v>3</v>
      </c>
      <c r="E303" s="68"/>
      <c r="F303" s="69">
        <v>50</v>
      </c>
      <c r="G303" s="66"/>
      <c r="H303" s="70"/>
      <c r="I303" s="71"/>
      <c r="J303" s="71"/>
      <c r="K303" s="34" t="s">
        <v>65</v>
      </c>
      <c r="L303" s="78">
        <v>303</v>
      </c>
      <c r="M303" s="78"/>
      <c r="N303" s="73"/>
      <c r="O303" s="89" t="s">
        <v>494</v>
      </c>
      <c r="P303">
        <v>1</v>
      </c>
      <c r="Q303" s="88" t="str">
        <f>REPLACE(INDEX(GroupVertices[Group],MATCH(Edges[[#This Row],[Vertex 1]],GroupVertices[Vertex],0)),1,1,"")</f>
        <v>1</v>
      </c>
      <c r="R303" s="88" t="str">
        <f>REPLACE(INDEX(GroupVertices[Group],MATCH(Edges[[#This Row],[Vertex 2]],GroupVertices[Vertex],0)),1,1,"")</f>
        <v>1</v>
      </c>
      <c r="S303" s="34"/>
      <c r="T303" s="34"/>
      <c r="U303" s="34"/>
      <c r="V303" s="34"/>
      <c r="W303" s="34"/>
      <c r="X303" s="34"/>
      <c r="Y303" s="34"/>
      <c r="Z303" s="34"/>
      <c r="AA303" s="34"/>
    </row>
    <row r="304" spans="1:27" ht="15">
      <c r="A304" s="65" t="s">
        <v>229</v>
      </c>
      <c r="B304" s="65" t="s">
        <v>420</v>
      </c>
      <c r="C304" s="66" t="s">
        <v>2751</v>
      </c>
      <c r="D304" s="67">
        <v>3</v>
      </c>
      <c r="E304" s="68"/>
      <c r="F304" s="69">
        <v>50</v>
      </c>
      <c r="G304" s="66"/>
      <c r="H304" s="70"/>
      <c r="I304" s="71"/>
      <c r="J304" s="71"/>
      <c r="K304" s="34" t="s">
        <v>65</v>
      </c>
      <c r="L304" s="78">
        <v>304</v>
      </c>
      <c r="M304" s="78"/>
      <c r="N304" s="73"/>
      <c r="O304" s="89" t="s">
        <v>494</v>
      </c>
      <c r="P304">
        <v>1</v>
      </c>
      <c r="Q304" s="88" t="str">
        <f>REPLACE(INDEX(GroupVertices[Group],MATCH(Edges[[#This Row],[Vertex 1]],GroupVertices[Vertex],0)),1,1,"")</f>
        <v>1</v>
      </c>
      <c r="R304" s="88" t="str">
        <f>REPLACE(INDEX(GroupVertices[Group],MATCH(Edges[[#This Row],[Vertex 2]],GroupVertices[Vertex],0)),1,1,"")</f>
        <v>1</v>
      </c>
      <c r="S304" s="34"/>
      <c r="T304" s="34"/>
      <c r="U304" s="34"/>
      <c r="V304" s="34"/>
      <c r="W304" s="34"/>
      <c r="X304" s="34"/>
      <c r="Y304" s="34"/>
      <c r="Z304" s="34"/>
      <c r="AA304" s="34"/>
    </row>
    <row r="305" spans="1:27" ht="15">
      <c r="A305" s="65" t="s">
        <v>229</v>
      </c>
      <c r="B305" s="65" t="s">
        <v>421</v>
      </c>
      <c r="C305" s="66" t="s">
        <v>2751</v>
      </c>
      <c r="D305" s="67">
        <v>3</v>
      </c>
      <c r="E305" s="68"/>
      <c r="F305" s="69">
        <v>50</v>
      </c>
      <c r="G305" s="66"/>
      <c r="H305" s="70"/>
      <c r="I305" s="71"/>
      <c r="J305" s="71"/>
      <c r="K305" s="34" t="s">
        <v>65</v>
      </c>
      <c r="L305" s="78">
        <v>305</v>
      </c>
      <c r="M305" s="78"/>
      <c r="N305" s="73"/>
      <c r="O305" s="89" t="s">
        <v>494</v>
      </c>
      <c r="P305">
        <v>1</v>
      </c>
      <c r="Q305" s="88" t="str">
        <f>REPLACE(INDEX(GroupVertices[Group],MATCH(Edges[[#This Row],[Vertex 1]],GroupVertices[Vertex],0)),1,1,"")</f>
        <v>1</v>
      </c>
      <c r="R305" s="88" t="str">
        <f>REPLACE(INDEX(GroupVertices[Group],MATCH(Edges[[#This Row],[Vertex 2]],GroupVertices[Vertex],0)),1,1,"")</f>
        <v>1</v>
      </c>
      <c r="S305" s="34"/>
      <c r="T305" s="34"/>
      <c r="U305" s="34"/>
      <c r="V305" s="34"/>
      <c r="W305" s="34"/>
      <c r="X305" s="34"/>
      <c r="Y305" s="34"/>
      <c r="Z305" s="34"/>
      <c r="AA305" s="34"/>
    </row>
    <row r="306" spans="1:27" ht="15">
      <c r="A306" s="65" t="s">
        <v>229</v>
      </c>
      <c r="B306" s="65" t="s">
        <v>257</v>
      </c>
      <c r="C306" s="66" t="s">
        <v>2751</v>
      </c>
      <c r="D306" s="67">
        <v>3</v>
      </c>
      <c r="E306" s="68"/>
      <c r="F306" s="69">
        <v>50</v>
      </c>
      <c r="G306" s="66"/>
      <c r="H306" s="70"/>
      <c r="I306" s="71"/>
      <c r="J306" s="71"/>
      <c r="K306" s="34" t="s">
        <v>65</v>
      </c>
      <c r="L306" s="78">
        <v>306</v>
      </c>
      <c r="M306" s="78"/>
      <c r="N306" s="73"/>
      <c r="O306" s="89" t="s">
        <v>494</v>
      </c>
      <c r="P306">
        <v>1</v>
      </c>
      <c r="Q306" s="88" t="str">
        <f>REPLACE(INDEX(GroupVertices[Group],MATCH(Edges[[#This Row],[Vertex 1]],GroupVertices[Vertex],0)),1,1,"")</f>
        <v>1</v>
      </c>
      <c r="R306" s="88" t="str">
        <f>REPLACE(INDEX(GroupVertices[Group],MATCH(Edges[[#This Row],[Vertex 2]],GroupVertices[Vertex],0)),1,1,"")</f>
        <v>2</v>
      </c>
      <c r="S306" s="34"/>
      <c r="T306" s="34"/>
      <c r="U306" s="34"/>
      <c r="V306" s="34"/>
      <c r="W306" s="34"/>
      <c r="X306" s="34"/>
      <c r="Y306" s="34"/>
      <c r="Z306" s="34"/>
      <c r="AA306" s="34"/>
    </row>
    <row r="307" spans="1:27" ht="15">
      <c r="A307" s="65" t="s">
        <v>229</v>
      </c>
      <c r="B307" s="65" t="s">
        <v>422</v>
      </c>
      <c r="C307" s="66" t="s">
        <v>2751</v>
      </c>
      <c r="D307" s="67">
        <v>3</v>
      </c>
      <c r="E307" s="68"/>
      <c r="F307" s="69">
        <v>50</v>
      </c>
      <c r="G307" s="66"/>
      <c r="H307" s="70"/>
      <c r="I307" s="71"/>
      <c r="J307" s="71"/>
      <c r="K307" s="34" t="s">
        <v>65</v>
      </c>
      <c r="L307" s="78">
        <v>307</v>
      </c>
      <c r="M307" s="78"/>
      <c r="N307" s="73"/>
      <c r="O307" s="89" t="s">
        <v>494</v>
      </c>
      <c r="P307">
        <v>1</v>
      </c>
      <c r="Q307" s="88" t="str">
        <f>REPLACE(INDEX(GroupVertices[Group],MATCH(Edges[[#This Row],[Vertex 1]],GroupVertices[Vertex],0)),1,1,"")</f>
        <v>1</v>
      </c>
      <c r="R307" s="88" t="str">
        <f>REPLACE(INDEX(GroupVertices[Group],MATCH(Edges[[#This Row],[Vertex 2]],GroupVertices[Vertex],0)),1,1,"")</f>
        <v>1</v>
      </c>
      <c r="S307" s="34"/>
      <c r="T307" s="34"/>
      <c r="U307" s="34"/>
      <c r="V307" s="34"/>
      <c r="W307" s="34"/>
      <c r="X307" s="34"/>
      <c r="Y307" s="34"/>
      <c r="Z307" s="34"/>
      <c r="AA307" s="34"/>
    </row>
    <row r="308" spans="1:27" ht="15">
      <c r="A308" s="65" t="s">
        <v>229</v>
      </c>
      <c r="B308" s="65" t="s">
        <v>423</v>
      </c>
      <c r="C308" s="66" t="s">
        <v>2751</v>
      </c>
      <c r="D308" s="67">
        <v>3</v>
      </c>
      <c r="E308" s="68"/>
      <c r="F308" s="69">
        <v>50</v>
      </c>
      <c r="G308" s="66"/>
      <c r="H308" s="70"/>
      <c r="I308" s="71"/>
      <c r="J308" s="71"/>
      <c r="K308" s="34" t="s">
        <v>65</v>
      </c>
      <c r="L308" s="78">
        <v>308</v>
      </c>
      <c r="M308" s="78"/>
      <c r="N308" s="73"/>
      <c r="O308" s="89" t="s">
        <v>494</v>
      </c>
      <c r="P308">
        <v>1</v>
      </c>
      <c r="Q308" s="88" t="str">
        <f>REPLACE(INDEX(GroupVertices[Group],MATCH(Edges[[#This Row],[Vertex 1]],GroupVertices[Vertex],0)),1,1,"")</f>
        <v>1</v>
      </c>
      <c r="R308" s="88" t="str">
        <f>REPLACE(INDEX(GroupVertices[Group],MATCH(Edges[[#This Row],[Vertex 2]],GroupVertices[Vertex],0)),1,1,"")</f>
        <v>1</v>
      </c>
      <c r="S308" s="34"/>
      <c r="T308" s="34"/>
      <c r="U308" s="34"/>
      <c r="V308" s="34"/>
      <c r="W308" s="34"/>
      <c r="X308" s="34"/>
      <c r="Y308" s="34"/>
      <c r="Z308" s="34"/>
      <c r="AA308" s="34"/>
    </row>
    <row r="309" spans="1:27" ht="15">
      <c r="A309" s="65" t="s">
        <v>229</v>
      </c>
      <c r="B309" s="65" t="s">
        <v>367</v>
      </c>
      <c r="C309" s="66" t="s">
        <v>2751</v>
      </c>
      <c r="D309" s="67">
        <v>3</v>
      </c>
      <c r="E309" s="68"/>
      <c r="F309" s="69">
        <v>50</v>
      </c>
      <c r="G309" s="66"/>
      <c r="H309" s="70"/>
      <c r="I309" s="71"/>
      <c r="J309" s="71"/>
      <c r="K309" s="34" t="s">
        <v>65</v>
      </c>
      <c r="L309" s="78">
        <v>309</v>
      </c>
      <c r="M309" s="78"/>
      <c r="N309" s="73"/>
      <c r="O309" s="89" t="s">
        <v>494</v>
      </c>
      <c r="P309">
        <v>1</v>
      </c>
      <c r="Q309" s="88" t="str">
        <f>REPLACE(INDEX(GroupVertices[Group],MATCH(Edges[[#This Row],[Vertex 1]],GroupVertices[Vertex],0)),1,1,"")</f>
        <v>1</v>
      </c>
      <c r="R309" s="88" t="str">
        <f>REPLACE(INDEX(GroupVertices[Group],MATCH(Edges[[#This Row],[Vertex 2]],GroupVertices[Vertex],0)),1,1,"")</f>
        <v>1</v>
      </c>
      <c r="S309" s="34"/>
      <c r="T309" s="34"/>
      <c r="U309" s="34"/>
      <c r="V309" s="34"/>
      <c r="W309" s="34"/>
      <c r="X309" s="34"/>
      <c r="Y309" s="34"/>
      <c r="Z309" s="34"/>
      <c r="AA309" s="34"/>
    </row>
    <row r="310" spans="1:27" ht="15">
      <c r="A310" s="65" t="s">
        <v>229</v>
      </c>
      <c r="B310" s="65" t="s">
        <v>315</v>
      </c>
      <c r="C310" s="66" t="s">
        <v>2751</v>
      </c>
      <c r="D310" s="67">
        <v>3</v>
      </c>
      <c r="E310" s="68"/>
      <c r="F310" s="69">
        <v>50</v>
      </c>
      <c r="G310" s="66"/>
      <c r="H310" s="70"/>
      <c r="I310" s="71"/>
      <c r="J310" s="71"/>
      <c r="K310" s="34" t="s">
        <v>65</v>
      </c>
      <c r="L310" s="78">
        <v>310</v>
      </c>
      <c r="M310" s="78"/>
      <c r="N310" s="73"/>
      <c r="O310" s="89" t="s">
        <v>494</v>
      </c>
      <c r="P310">
        <v>1</v>
      </c>
      <c r="Q310" s="88" t="str">
        <f>REPLACE(INDEX(GroupVertices[Group],MATCH(Edges[[#This Row],[Vertex 1]],GroupVertices[Vertex],0)),1,1,"")</f>
        <v>1</v>
      </c>
      <c r="R310" s="88" t="str">
        <f>REPLACE(INDEX(GroupVertices[Group],MATCH(Edges[[#This Row],[Vertex 2]],GroupVertices[Vertex],0)),1,1,"")</f>
        <v>2</v>
      </c>
      <c r="S310" s="34"/>
      <c r="T310" s="34"/>
      <c r="U310" s="34"/>
      <c r="V310" s="34"/>
      <c r="W310" s="34"/>
      <c r="X310" s="34"/>
      <c r="Y310" s="34"/>
      <c r="Z310" s="34"/>
      <c r="AA310" s="34"/>
    </row>
    <row r="311" spans="1:27" ht="15">
      <c r="A311" s="65" t="s">
        <v>229</v>
      </c>
      <c r="B311" s="65" t="s">
        <v>256</v>
      </c>
      <c r="C311" s="66" t="s">
        <v>2751</v>
      </c>
      <c r="D311" s="67">
        <v>3</v>
      </c>
      <c r="E311" s="68"/>
      <c r="F311" s="69">
        <v>50</v>
      </c>
      <c r="G311" s="66"/>
      <c r="H311" s="70"/>
      <c r="I311" s="71"/>
      <c r="J311" s="71"/>
      <c r="K311" s="34" t="s">
        <v>65</v>
      </c>
      <c r="L311" s="78">
        <v>311</v>
      </c>
      <c r="M311" s="78"/>
      <c r="N311" s="73"/>
      <c r="O311" s="89" t="s">
        <v>494</v>
      </c>
      <c r="P311">
        <v>1</v>
      </c>
      <c r="Q311" s="88" t="str">
        <f>REPLACE(INDEX(GroupVertices[Group],MATCH(Edges[[#This Row],[Vertex 1]],GroupVertices[Vertex],0)),1,1,"")</f>
        <v>1</v>
      </c>
      <c r="R311" s="88" t="str">
        <f>REPLACE(INDEX(GroupVertices[Group],MATCH(Edges[[#This Row],[Vertex 2]],GroupVertices[Vertex],0)),1,1,"")</f>
        <v>1</v>
      </c>
      <c r="S311" s="34"/>
      <c r="T311" s="34"/>
      <c r="U311" s="34"/>
      <c r="V311" s="34"/>
      <c r="W311" s="34"/>
      <c r="X311" s="34"/>
      <c r="Y311" s="34"/>
      <c r="Z311" s="34"/>
      <c r="AA311" s="34"/>
    </row>
    <row r="312" spans="1:27" ht="15">
      <c r="A312" s="65" t="s">
        <v>229</v>
      </c>
      <c r="B312" s="65" t="s">
        <v>371</v>
      </c>
      <c r="C312" s="66" t="s">
        <v>2751</v>
      </c>
      <c r="D312" s="67">
        <v>3</v>
      </c>
      <c r="E312" s="68"/>
      <c r="F312" s="69">
        <v>50</v>
      </c>
      <c r="G312" s="66"/>
      <c r="H312" s="70"/>
      <c r="I312" s="71"/>
      <c r="J312" s="71"/>
      <c r="K312" s="34" t="s">
        <v>65</v>
      </c>
      <c r="L312" s="78">
        <v>312</v>
      </c>
      <c r="M312" s="78"/>
      <c r="N312" s="73"/>
      <c r="O312" s="89" t="s">
        <v>494</v>
      </c>
      <c r="P312">
        <v>1</v>
      </c>
      <c r="Q312" s="88" t="str">
        <f>REPLACE(INDEX(GroupVertices[Group],MATCH(Edges[[#This Row],[Vertex 1]],GroupVertices[Vertex],0)),1,1,"")</f>
        <v>1</v>
      </c>
      <c r="R312" s="88" t="str">
        <f>REPLACE(INDEX(GroupVertices[Group],MATCH(Edges[[#This Row],[Vertex 2]],GroupVertices[Vertex],0)),1,1,"")</f>
        <v>1</v>
      </c>
      <c r="S312" s="34"/>
      <c r="T312" s="34"/>
      <c r="U312" s="34"/>
      <c r="V312" s="34"/>
      <c r="W312" s="34"/>
      <c r="X312" s="34"/>
      <c r="Y312" s="34"/>
      <c r="Z312" s="34"/>
      <c r="AA312" s="34"/>
    </row>
    <row r="313" spans="1:27" ht="15">
      <c r="A313" s="65" t="s">
        <v>229</v>
      </c>
      <c r="B313" s="65" t="s">
        <v>398</v>
      </c>
      <c r="C313" s="66" t="s">
        <v>2751</v>
      </c>
      <c r="D313" s="67">
        <v>3</v>
      </c>
      <c r="E313" s="68"/>
      <c r="F313" s="69">
        <v>50</v>
      </c>
      <c r="G313" s="66"/>
      <c r="H313" s="70"/>
      <c r="I313" s="71"/>
      <c r="J313" s="71"/>
      <c r="K313" s="34" t="s">
        <v>65</v>
      </c>
      <c r="L313" s="78">
        <v>313</v>
      </c>
      <c r="M313" s="78"/>
      <c r="N313" s="73"/>
      <c r="O313" s="89" t="s">
        <v>494</v>
      </c>
      <c r="P313">
        <v>1</v>
      </c>
      <c r="Q313" s="88" t="str">
        <f>REPLACE(INDEX(GroupVertices[Group],MATCH(Edges[[#This Row],[Vertex 1]],GroupVertices[Vertex],0)),1,1,"")</f>
        <v>1</v>
      </c>
      <c r="R313" s="88" t="str">
        <f>REPLACE(INDEX(GroupVertices[Group],MATCH(Edges[[#This Row],[Vertex 2]],GroupVertices[Vertex],0)),1,1,"")</f>
        <v>1</v>
      </c>
      <c r="S313" s="34"/>
      <c r="T313" s="34"/>
      <c r="U313" s="34"/>
      <c r="V313" s="34"/>
      <c r="W313" s="34"/>
      <c r="X313" s="34"/>
      <c r="Y313" s="34"/>
      <c r="Z313" s="34"/>
      <c r="AA313" s="34"/>
    </row>
    <row r="314" spans="1:27" ht="15">
      <c r="A314" s="65" t="s">
        <v>229</v>
      </c>
      <c r="B314" s="65" t="s">
        <v>368</v>
      </c>
      <c r="C314" s="66" t="s">
        <v>2751</v>
      </c>
      <c r="D314" s="67">
        <v>3</v>
      </c>
      <c r="E314" s="68"/>
      <c r="F314" s="69">
        <v>50</v>
      </c>
      <c r="G314" s="66"/>
      <c r="H314" s="70"/>
      <c r="I314" s="71"/>
      <c r="J314" s="71"/>
      <c r="K314" s="34" t="s">
        <v>65</v>
      </c>
      <c r="L314" s="78">
        <v>314</v>
      </c>
      <c r="M314" s="78"/>
      <c r="N314" s="73"/>
      <c r="O314" s="89" t="s">
        <v>494</v>
      </c>
      <c r="P314">
        <v>1</v>
      </c>
      <c r="Q314" s="88" t="str">
        <f>REPLACE(INDEX(GroupVertices[Group],MATCH(Edges[[#This Row],[Vertex 1]],GroupVertices[Vertex],0)),1,1,"")</f>
        <v>1</v>
      </c>
      <c r="R314" s="88" t="str">
        <f>REPLACE(INDEX(GroupVertices[Group],MATCH(Edges[[#This Row],[Vertex 2]],GroupVertices[Vertex],0)),1,1,"")</f>
        <v>1</v>
      </c>
      <c r="S314" s="34"/>
      <c r="T314" s="34"/>
      <c r="U314" s="34"/>
      <c r="V314" s="34"/>
      <c r="W314" s="34"/>
      <c r="X314" s="34"/>
      <c r="Y314" s="34"/>
      <c r="Z314" s="34"/>
      <c r="AA314" s="34"/>
    </row>
    <row r="315" spans="1:27" ht="15">
      <c r="A315" s="65" t="s">
        <v>229</v>
      </c>
      <c r="B315" s="65" t="s">
        <v>424</v>
      </c>
      <c r="C315" s="66" t="s">
        <v>2751</v>
      </c>
      <c r="D315" s="67">
        <v>3</v>
      </c>
      <c r="E315" s="68"/>
      <c r="F315" s="69">
        <v>50</v>
      </c>
      <c r="G315" s="66"/>
      <c r="H315" s="70"/>
      <c r="I315" s="71"/>
      <c r="J315" s="71"/>
      <c r="K315" s="34" t="s">
        <v>65</v>
      </c>
      <c r="L315" s="78">
        <v>315</v>
      </c>
      <c r="M315" s="78"/>
      <c r="N315" s="73"/>
      <c r="O315" s="89" t="s">
        <v>494</v>
      </c>
      <c r="P315">
        <v>1</v>
      </c>
      <c r="Q315" s="88" t="str">
        <f>REPLACE(INDEX(GroupVertices[Group],MATCH(Edges[[#This Row],[Vertex 1]],GroupVertices[Vertex],0)),1,1,"")</f>
        <v>1</v>
      </c>
      <c r="R315" s="88" t="str">
        <f>REPLACE(INDEX(GroupVertices[Group],MATCH(Edges[[#This Row],[Vertex 2]],GroupVertices[Vertex],0)),1,1,"")</f>
        <v>1</v>
      </c>
      <c r="S315" s="34"/>
      <c r="T315" s="34"/>
      <c r="U315" s="34"/>
      <c r="V315" s="34"/>
      <c r="W315" s="34"/>
      <c r="X315" s="34"/>
      <c r="Y315" s="34"/>
      <c r="Z315" s="34"/>
      <c r="AA315" s="34"/>
    </row>
    <row r="316" spans="1:27" ht="15">
      <c r="A316" s="65" t="s">
        <v>229</v>
      </c>
      <c r="B316" s="65" t="s">
        <v>370</v>
      </c>
      <c r="C316" s="66" t="s">
        <v>2751</v>
      </c>
      <c r="D316" s="67">
        <v>3</v>
      </c>
      <c r="E316" s="68"/>
      <c r="F316" s="69">
        <v>50</v>
      </c>
      <c r="G316" s="66"/>
      <c r="H316" s="70"/>
      <c r="I316" s="71"/>
      <c r="J316" s="71"/>
      <c r="K316" s="34" t="s">
        <v>65</v>
      </c>
      <c r="L316" s="78">
        <v>316</v>
      </c>
      <c r="M316" s="78"/>
      <c r="N316" s="73"/>
      <c r="O316" s="89" t="s">
        <v>494</v>
      </c>
      <c r="P316">
        <v>1</v>
      </c>
      <c r="Q316" s="88" t="str">
        <f>REPLACE(INDEX(GroupVertices[Group],MATCH(Edges[[#This Row],[Vertex 1]],GroupVertices[Vertex],0)),1,1,"")</f>
        <v>1</v>
      </c>
      <c r="R316" s="88" t="str">
        <f>REPLACE(INDEX(GroupVertices[Group],MATCH(Edges[[#This Row],[Vertex 2]],GroupVertices[Vertex],0)),1,1,"")</f>
        <v>1</v>
      </c>
      <c r="S316" s="34"/>
      <c r="T316" s="34"/>
      <c r="U316" s="34"/>
      <c r="V316" s="34"/>
      <c r="W316" s="34"/>
      <c r="X316" s="34"/>
      <c r="Y316" s="34"/>
      <c r="Z316" s="34"/>
      <c r="AA316" s="34"/>
    </row>
    <row r="317" spans="1:27" ht="15">
      <c r="A317" s="65" t="s">
        <v>229</v>
      </c>
      <c r="B317" s="65" t="s">
        <v>230</v>
      </c>
      <c r="C317" s="66" t="s">
        <v>2751</v>
      </c>
      <c r="D317" s="67">
        <v>3</v>
      </c>
      <c r="E317" s="68"/>
      <c r="F317" s="69">
        <v>50</v>
      </c>
      <c r="G317" s="66"/>
      <c r="H317" s="70"/>
      <c r="I317" s="71"/>
      <c r="J317" s="71"/>
      <c r="K317" s="34" t="s">
        <v>65</v>
      </c>
      <c r="L317" s="78">
        <v>317</v>
      </c>
      <c r="M317" s="78"/>
      <c r="N317" s="73"/>
      <c r="O317" s="89" t="s">
        <v>494</v>
      </c>
      <c r="P317">
        <v>1</v>
      </c>
      <c r="Q317" s="88" t="str">
        <f>REPLACE(INDEX(GroupVertices[Group],MATCH(Edges[[#This Row],[Vertex 1]],GroupVertices[Vertex],0)),1,1,"")</f>
        <v>1</v>
      </c>
      <c r="R317" s="88" t="str">
        <f>REPLACE(INDEX(GroupVertices[Group],MATCH(Edges[[#This Row],[Vertex 2]],GroupVertices[Vertex],0)),1,1,"")</f>
        <v>1</v>
      </c>
      <c r="S317" s="34"/>
      <c r="T317" s="34"/>
      <c r="U317" s="34"/>
      <c r="V317" s="34"/>
      <c r="W317" s="34"/>
      <c r="X317" s="34"/>
      <c r="Y317" s="34"/>
      <c r="Z317" s="34"/>
      <c r="AA317" s="34"/>
    </row>
    <row r="318" spans="1:27" ht="15">
      <c r="A318" s="65" t="s">
        <v>229</v>
      </c>
      <c r="B318" s="65" t="s">
        <v>309</v>
      </c>
      <c r="C318" s="66" t="s">
        <v>2751</v>
      </c>
      <c r="D318" s="67">
        <v>3</v>
      </c>
      <c r="E318" s="68"/>
      <c r="F318" s="69">
        <v>50</v>
      </c>
      <c r="G318" s="66"/>
      <c r="H318" s="70"/>
      <c r="I318" s="71"/>
      <c r="J318" s="71"/>
      <c r="K318" s="34" t="s">
        <v>65</v>
      </c>
      <c r="L318" s="78">
        <v>318</v>
      </c>
      <c r="M318" s="78"/>
      <c r="N318" s="73"/>
      <c r="O318" s="89" t="s">
        <v>494</v>
      </c>
      <c r="P318">
        <v>1</v>
      </c>
      <c r="Q318" s="88" t="str">
        <f>REPLACE(INDEX(GroupVertices[Group],MATCH(Edges[[#This Row],[Vertex 1]],GroupVertices[Vertex],0)),1,1,"")</f>
        <v>1</v>
      </c>
      <c r="R318" s="88" t="str">
        <f>REPLACE(INDEX(GroupVertices[Group],MATCH(Edges[[#This Row],[Vertex 2]],GroupVertices[Vertex],0)),1,1,"")</f>
        <v>1</v>
      </c>
      <c r="S318" s="34"/>
      <c r="T318" s="34"/>
      <c r="U318" s="34"/>
      <c r="V318" s="34"/>
      <c r="W318" s="34"/>
      <c r="X318" s="34"/>
      <c r="Y318" s="34"/>
      <c r="Z318" s="34"/>
      <c r="AA318" s="34"/>
    </row>
    <row r="319" spans="1:27" ht="15">
      <c r="A319" s="65" t="s">
        <v>229</v>
      </c>
      <c r="B319" s="65" t="s">
        <v>381</v>
      </c>
      <c r="C319" s="66" t="s">
        <v>2751</v>
      </c>
      <c r="D319" s="67">
        <v>3</v>
      </c>
      <c r="E319" s="68"/>
      <c r="F319" s="69">
        <v>50</v>
      </c>
      <c r="G319" s="66"/>
      <c r="H319" s="70"/>
      <c r="I319" s="71"/>
      <c r="J319" s="71"/>
      <c r="K319" s="34" t="s">
        <v>65</v>
      </c>
      <c r="L319" s="78">
        <v>319</v>
      </c>
      <c r="M319" s="78"/>
      <c r="N319" s="73"/>
      <c r="O319" s="89" t="s">
        <v>494</v>
      </c>
      <c r="P319">
        <v>1</v>
      </c>
      <c r="Q319" s="88" t="str">
        <f>REPLACE(INDEX(GroupVertices[Group],MATCH(Edges[[#This Row],[Vertex 1]],GroupVertices[Vertex],0)),1,1,"")</f>
        <v>1</v>
      </c>
      <c r="R319" s="88" t="str">
        <f>REPLACE(INDEX(GroupVertices[Group],MATCH(Edges[[#This Row],[Vertex 2]],GroupVertices[Vertex],0)),1,1,"")</f>
        <v>1</v>
      </c>
      <c r="S319" s="34"/>
      <c r="T319" s="34"/>
      <c r="U319" s="34"/>
      <c r="V319" s="34"/>
      <c r="W319" s="34"/>
      <c r="X319" s="34"/>
      <c r="Y319" s="34"/>
      <c r="Z319" s="34"/>
      <c r="AA319" s="34"/>
    </row>
    <row r="320" spans="1:27" ht="15">
      <c r="A320" s="65" t="s">
        <v>229</v>
      </c>
      <c r="B320" s="65" t="s">
        <v>262</v>
      </c>
      <c r="C320" s="66" t="s">
        <v>2751</v>
      </c>
      <c r="D320" s="67">
        <v>3</v>
      </c>
      <c r="E320" s="68"/>
      <c r="F320" s="69">
        <v>50</v>
      </c>
      <c r="G320" s="66"/>
      <c r="H320" s="70"/>
      <c r="I320" s="71"/>
      <c r="J320" s="71"/>
      <c r="K320" s="34" t="s">
        <v>65</v>
      </c>
      <c r="L320" s="78">
        <v>320</v>
      </c>
      <c r="M320" s="78"/>
      <c r="N320" s="73"/>
      <c r="O320" s="89" t="s">
        <v>494</v>
      </c>
      <c r="P320">
        <v>1</v>
      </c>
      <c r="Q320" s="88" t="str">
        <f>REPLACE(INDEX(GroupVertices[Group],MATCH(Edges[[#This Row],[Vertex 1]],GroupVertices[Vertex],0)),1,1,"")</f>
        <v>1</v>
      </c>
      <c r="R320" s="88" t="str">
        <f>REPLACE(INDEX(GroupVertices[Group],MATCH(Edges[[#This Row],[Vertex 2]],GroupVertices[Vertex],0)),1,1,"")</f>
        <v>2</v>
      </c>
      <c r="S320" s="34"/>
      <c r="T320" s="34"/>
      <c r="U320" s="34"/>
      <c r="V320" s="34"/>
      <c r="W320" s="34"/>
      <c r="X320" s="34"/>
      <c r="Y320" s="34"/>
      <c r="Z320" s="34"/>
      <c r="AA320" s="34"/>
    </row>
    <row r="321" spans="1:27" ht="15">
      <c r="A321" s="65" t="s">
        <v>229</v>
      </c>
      <c r="B321" s="65" t="s">
        <v>319</v>
      </c>
      <c r="C321" s="66" t="s">
        <v>2751</v>
      </c>
      <c r="D321" s="67">
        <v>3</v>
      </c>
      <c r="E321" s="68"/>
      <c r="F321" s="69">
        <v>50</v>
      </c>
      <c r="G321" s="66"/>
      <c r="H321" s="70"/>
      <c r="I321" s="71"/>
      <c r="J321" s="71"/>
      <c r="K321" s="34" t="s">
        <v>65</v>
      </c>
      <c r="L321" s="78">
        <v>321</v>
      </c>
      <c r="M321" s="78"/>
      <c r="N321" s="73"/>
      <c r="O321" s="89" t="s">
        <v>494</v>
      </c>
      <c r="P321">
        <v>1</v>
      </c>
      <c r="Q321" s="88" t="str">
        <f>REPLACE(INDEX(GroupVertices[Group],MATCH(Edges[[#This Row],[Vertex 1]],GroupVertices[Vertex],0)),1,1,"")</f>
        <v>1</v>
      </c>
      <c r="R321" s="88" t="str">
        <f>REPLACE(INDEX(GroupVertices[Group],MATCH(Edges[[#This Row],[Vertex 2]],GroupVertices[Vertex],0)),1,1,"")</f>
        <v>2</v>
      </c>
      <c r="S321" s="34"/>
      <c r="T321" s="34"/>
      <c r="U321" s="34"/>
      <c r="V321" s="34"/>
      <c r="W321" s="34"/>
      <c r="X321" s="34"/>
      <c r="Y321" s="34"/>
      <c r="Z321" s="34"/>
      <c r="AA321" s="34"/>
    </row>
    <row r="322" spans="1:27" ht="15">
      <c r="A322" s="65" t="s">
        <v>229</v>
      </c>
      <c r="B322" s="65" t="s">
        <v>425</v>
      </c>
      <c r="C322" s="66" t="s">
        <v>2751</v>
      </c>
      <c r="D322" s="67">
        <v>3</v>
      </c>
      <c r="E322" s="68"/>
      <c r="F322" s="69">
        <v>50</v>
      </c>
      <c r="G322" s="66"/>
      <c r="H322" s="70"/>
      <c r="I322" s="71"/>
      <c r="J322" s="71"/>
      <c r="K322" s="34" t="s">
        <v>65</v>
      </c>
      <c r="L322" s="78">
        <v>322</v>
      </c>
      <c r="M322" s="78"/>
      <c r="N322" s="73"/>
      <c r="O322" s="89" t="s">
        <v>494</v>
      </c>
      <c r="P322">
        <v>1</v>
      </c>
      <c r="Q322" s="88" t="str">
        <f>REPLACE(INDEX(GroupVertices[Group],MATCH(Edges[[#This Row],[Vertex 1]],GroupVertices[Vertex],0)),1,1,"")</f>
        <v>1</v>
      </c>
      <c r="R322" s="88" t="str">
        <f>REPLACE(INDEX(GroupVertices[Group],MATCH(Edges[[#This Row],[Vertex 2]],GroupVertices[Vertex],0)),1,1,"")</f>
        <v>1</v>
      </c>
      <c r="S322" s="34"/>
      <c r="T322" s="34"/>
      <c r="U322" s="34"/>
      <c r="V322" s="34"/>
      <c r="W322" s="34"/>
      <c r="X322" s="34"/>
      <c r="Y322" s="34"/>
      <c r="Z322" s="34"/>
      <c r="AA322" s="34"/>
    </row>
    <row r="323" spans="1:27" ht="15">
      <c r="A323" s="65" t="s">
        <v>230</v>
      </c>
      <c r="B323" s="65" t="s">
        <v>426</v>
      </c>
      <c r="C323" s="66" t="s">
        <v>2751</v>
      </c>
      <c r="D323" s="67">
        <v>3</v>
      </c>
      <c r="E323" s="68"/>
      <c r="F323" s="69">
        <v>50</v>
      </c>
      <c r="G323" s="66"/>
      <c r="H323" s="70"/>
      <c r="I323" s="71"/>
      <c r="J323" s="71"/>
      <c r="K323" s="34" t="s">
        <v>65</v>
      </c>
      <c r="L323" s="78">
        <v>323</v>
      </c>
      <c r="M323" s="78"/>
      <c r="N323" s="73"/>
      <c r="O323" s="89" t="s">
        <v>494</v>
      </c>
      <c r="P323">
        <v>1</v>
      </c>
      <c r="Q323" s="88" t="str">
        <f>REPLACE(INDEX(GroupVertices[Group],MATCH(Edges[[#This Row],[Vertex 1]],GroupVertices[Vertex],0)),1,1,"")</f>
        <v>1</v>
      </c>
      <c r="R323" s="88" t="str">
        <f>REPLACE(INDEX(GroupVertices[Group],MATCH(Edges[[#This Row],[Vertex 2]],GroupVertices[Vertex],0)),1,1,"")</f>
        <v>1</v>
      </c>
      <c r="S323" s="34"/>
      <c r="T323" s="34"/>
      <c r="U323" s="34"/>
      <c r="V323" s="34"/>
      <c r="W323" s="34"/>
      <c r="X323" s="34"/>
      <c r="Y323" s="34"/>
      <c r="Z323" s="34"/>
      <c r="AA323" s="34"/>
    </row>
    <row r="324" spans="1:27" ht="15">
      <c r="A324" s="65" t="s">
        <v>230</v>
      </c>
      <c r="B324" s="65" t="s">
        <v>427</v>
      </c>
      <c r="C324" s="66" t="s">
        <v>2751</v>
      </c>
      <c r="D324" s="67">
        <v>3</v>
      </c>
      <c r="E324" s="68"/>
      <c r="F324" s="69">
        <v>50</v>
      </c>
      <c r="G324" s="66"/>
      <c r="H324" s="70"/>
      <c r="I324" s="71"/>
      <c r="J324" s="71"/>
      <c r="K324" s="34" t="s">
        <v>65</v>
      </c>
      <c r="L324" s="78">
        <v>324</v>
      </c>
      <c r="M324" s="78"/>
      <c r="N324" s="73"/>
      <c r="O324" s="89" t="s">
        <v>494</v>
      </c>
      <c r="P324">
        <v>1</v>
      </c>
      <c r="Q324" s="88" t="str">
        <f>REPLACE(INDEX(GroupVertices[Group],MATCH(Edges[[#This Row],[Vertex 1]],GroupVertices[Vertex],0)),1,1,"")</f>
        <v>1</v>
      </c>
      <c r="R324" s="88" t="str">
        <f>REPLACE(INDEX(GroupVertices[Group],MATCH(Edges[[#This Row],[Vertex 2]],GroupVertices[Vertex],0)),1,1,"")</f>
        <v>1</v>
      </c>
      <c r="S324" s="34"/>
      <c r="T324" s="34"/>
      <c r="U324" s="34"/>
      <c r="V324" s="34"/>
      <c r="W324" s="34"/>
      <c r="X324" s="34"/>
      <c r="Y324" s="34"/>
      <c r="Z324" s="34"/>
      <c r="AA324" s="34"/>
    </row>
    <row r="325" spans="1:27" ht="15">
      <c r="A325" s="65" t="s">
        <v>230</v>
      </c>
      <c r="B325" s="65" t="s">
        <v>322</v>
      </c>
      <c r="C325" s="66" t="s">
        <v>2751</v>
      </c>
      <c r="D325" s="67">
        <v>3</v>
      </c>
      <c r="E325" s="68"/>
      <c r="F325" s="69">
        <v>50</v>
      </c>
      <c r="G325" s="66"/>
      <c r="H325" s="70"/>
      <c r="I325" s="71"/>
      <c r="J325" s="71"/>
      <c r="K325" s="34" t="s">
        <v>65</v>
      </c>
      <c r="L325" s="78">
        <v>325</v>
      </c>
      <c r="M325" s="78"/>
      <c r="N325" s="73"/>
      <c r="O325" s="89" t="s">
        <v>494</v>
      </c>
      <c r="P325">
        <v>1</v>
      </c>
      <c r="Q325" s="88" t="str">
        <f>REPLACE(INDEX(GroupVertices[Group],MATCH(Edges[[#This Row],[Vertex 1]],GroupVertices[Vertex],0)),1,1,"")</f>
        <v>1</v>
      </c>
      <c r="R325" s="88" t="str">
        <f>REPLACE(INDEX(GroupVertices[Group],MATCH(Edges[[#This Row],[Vertex 2]],GroupVertices[Vertex],0)),1,1,"")</f>
        <v>2</v>
      </c>
      <c r="S325" s="34"/>
      <c r="T325" s="34"/>
      <c r="U325" s="34"/>
      <c r="V325" s="34"/>
      <c r="W325" s="34"/>
      <c r="X325" s="34"/>
      <c r="Y325" s="34"/>
      <c r="Z325" s="34"/>
      <c r="AA325" s="34"/>
    </row>
    <row r="326" spans="1:27" ht="15">
      <c r="A326" s="65" t="s">
        <v>230</v>
      </c>
      <c r="B326" s="65" t="s">
        <v>428</v>
      </c>
      <c r="C326" s="66" t="s">
        <v>2751</v>
      </c>
      <c r="D326" s="67">
        <v>3</v>
      </c>
      <c r="E326" s="68"/>
      <c r="F326" s="69">
        <v>50</v>
      </c>
      <c r="G326" s="66"/>
      <c r="H326" s="70"/>
      <c r="I326" s="71"/>
      <c r="J326" s="71"/>
      <c r="K326" s="34" t="s">
        <v>65</v>
      </c>
      <c r="L326" s="78">
        <v>326</v>
      </c>
      <c r="M326" s="78"/>
      <c r="N326" s="73"/>
      <c r="O326" s="89" t="s">
        <v>494</v>
      </c>
      <c r="P326">
        <v>1</v>
      </c>
      <c r="Q326" s="88" t="str">
        <f>REPLACE(INDEX(GroupVertices[Group],MATCH(Edges[[#This Row],[Vertex 1]],GroupVertices[Vertex],0)),1,1,"")</f>
        <v>1</v>
      </c>
      <c r="R326" s="88" t="str">
        <f>REPLACE(INDEX(GroupVertices[Group],MATCH(Edges[[#This Row],[Vertex 2]],GroupVertices[Vertex],0)),1,1,"")</f>
        <v>1</v>
      </c>
      <c r="S326" s="34"/>
      <c r="T326" s="34"/>
      <c r="U326" s="34"/>
      <c r="V326" s="34"/>
      <c r="W326" s="34"/>
      <c r="X326" s="34"/>
      <c r="Y326" s="34"/>
      <c r="Z326" s="34"/>
      <c r="AA326" s="34"/>
    </row>
    <row r="327" spans="1:27" ht="15">
      <c r="A327" s="65" t="s">
        <v>230</v>
      </c>
      <c r="B327" s="65" t="s">
        <v>429</v>
      </c>
      <c r="C327" s="66" t="s">
        <v>2751</v>
      </c>
      <c r="D327" s="67">
        <v>3</v>
      </c>
      <c r="E327" s="68"/>
      <c r="F327" s="69">
        <v>50</v>
      </c>
      <c r="G327" s="66"/>
      <c r="H327" s="70"/>
      <c r="I327" s="71"/>
      <c r="J327" s="71"/>
      <c r="K327" s="34" t="s">
        <v>65</v>
      </c>
      <c r="L327" s="78">
        <v>327</v>
      </c>
      <c r="M327" s="78"/>
      <c r="N327" s="73"/>
      <c r="O327" s="89" t="s">
        <v>494</v>
      </c>
      <c r="P327">
        <v>1</v>
      </c>
      <c r="Q327" s="88" t="str">
        <f>REPLACE(INDEX(GroupVertices[Group],MATCH(Edges[[#This Row],[Vertex 1]],GroupVertices[Vertex],0)),1,1,"")</f>
        <v>1</v>
      </c>
      <c r="R327" s="88" t="str">
        <f>REPLACE(INDEX(GroupVertices[Group],MATCH(Edges[[#This Row],[Vertex 2]],GroupVertices[Vertex],0)),1,1,"")</f>
        <v>1</v>
      </c>
      <c r="S327" s="34"/>
      <c r="T327" s="34"/>
      <c r="U327" s="34"/>
      <c r="V327" s="34"/>
      <c r="W327" s="34"/>
      <c r="X327" s="34"/>
      <c r="Y327" s="34"/>
      <c r="Z327" s="34"/>
      <c r="AA327" s="34"/>
    </row>
    <row r="328" spans="1:27" ht="15">
      <c r="A328" s="65" t="s">
        <v>230</v>
      </c>
      <c r="B328" s="65" t="s">
        <v>261</v>
      </c>
      <c r="C328" s="66" t="s">
        <v>2751</v>
      </c>
      <c r="D328" s="67">
        <v>3</v>
      </c>
      <c r="E328" s="68"/>
      <c r="F328" s="69">
        <v>50</v>
      </c>
      <c r="G328" s="66"/>
      <c r="H328" s="70"/>
      <c r="I328" s="71"/>
      <c r="J328" s="71"/>
      <c r="K328" s="34" t="s">
        <v>65</v>
      </c>
      <c r="L328" s="78">
        <v>328</v>
      </c>
      <c r="M328" s="78"/>
      <c r="N328" s="73"/>
      <c r="O328" s="89" t="s">
        <v>494</v>
      </c>
      <c r="P328">
        <v>1</v>
      </c>
      <c r="Q328" s="88" t="str">
        <f>REPLACE(INDEX(GroupVertices[Group],MATCH(Edges[[#This Row],[Vertex 1]],GroupVertices[Vertex],0)),1,1,"")</f>
        <v>1</v>
      </c>
      <c r="R328" s="88" t="str">
        <f>REPLACE(INDEX(GroupVertices[Group],MATCH(Edges[[#This Row],[Vertex 2]],GroupVertices[Vertex],0)),1,1,"")</f>
        <v>5</v>
      </c>
      <c r="S328" s="34"/>
      <c r="T328" s="34"/>
      <c r="U328" s="34"/>
      <c r="V328" s="34"/>
      <c r="W328" s="34"/>
      <c r="X328" s="34"/>
      <c r="Y328" s="34"/>
      <c r="Z328" s="34"/>
      <c r="AA328" s="34"/>
    </row>
    <row r="329" spans="1:27" ht="15">
      <c r="A329" s="65" t="s">
        <v>230</v>
      </c>
      <c r="B329" s="65" t="s">
        <v>309</v>
      </c>
      <c r="C329" s="66" t="s">
        <v>2751</v>
      </c>
      <c r="D329" s="67">
        <v>3</v>
      </c>
      <c r="E329" s="68"/>
      <c r="F329" s="69">
        <v>50</v>
      </c>
      <c r="G329" s="66"/>
      <c r="H329" s="70"/>
      <c r="I329" s="71"/>
      <c r="J329" s="71"/>
      <c r="K329" s="34" t="s">
        <v>65</v>
      </c>
      <c r="L329" s="78">
        <v>329</v>
      </c>
      <c r="M329" s="78"/>
      <c r="N329" s="73"/>
      <c r="O329" s="89" t="s">
        <v>494</v>
      </c>
      <c r="P329">
        <v>1</v>
      </c>
      <c r="Q329" s="88" t="str">
        <f>REPLACE(INDEX(GroupVertices[Group],MATCH(Edges[[#This Row],[Vertex 1]],GroupVertices[Vertex],0)),1,1,"")</f>
        <v>1</v>
      </c>
      <c r="R329" s="88" t="str">
        <f>REPLACE(INDEX(GroupVertices[Group],MATCH(Edges[[#This Row],[Vertex 2]],GroupVertices[Vertex],0)),1,1,"")</f>
        <v>1</v>
      </c>
      <c r="S329" s="34"/>
      <c r="T329" s="34"/>
      <c r="U329" s="34"/>
      <c r="V329" s="34"/>
      <c r="W329" s="34"/>
      <c r="X329" s="34"/>
      <c r="Y329" s="34"/>
      <c r="Z329" s="34"/>
      <c r="AA329" s="34"/>
    </row>
    <row r="330" spans="1:27" ht="15">
      <c r="A330" s="65" t="s">
        <v>230</v>
      </c>
      <c r="B330" s="65" t="s">
        <v>430</v>
      </c>
      <c r="C330" s="66" t="s">
        <v>2751</v>
      </c>
      <c r="D330" s="67">
        <v>3</v>
      </c>
      <c r="E330" s="68"/>
      <c r="F330" s="69">
        <v>50</v>
      </c>
      <c r="G330" s="66"/>
      <c r="H330" s="70"/>
      <c r="I330" s="71"/>
      <c r="J330" s="71"/>
      <c r="K330" s="34" t="s">
        <v>65</v>
      </c>
      <c r="L330" s="78">
        <v>330</v>
      </c>
      <c r="M330" s="78"/>
      <c r="N330" s="73"/>
      <c r="O330" s="89" t="s">
        <v>494</v>
      </c>
      <c r="P330">
        <v>1</v>
      </c>
      <c r="Q330" s="88" t="str">
        <f>REPLACE(INDEX(GroupVertices[Group],MATCH(Edges[[#This Row],[Vertex 1]],GroupVertices[Vertex],0)),1,1,"")</f>
        <v>1</v>
      </c>
      <c r="R330" s="88" t="str">
        <f>REPLACE(INDEX(GroupVertices[Group],MATCH(Edges[[#This Row],[Vertex 2]],GroupVertices[Vertex],0)),1,1,"")</f>
        <v>1</v>
      </c>
      <c r="S330" s="34"/>
      <c r="T330" s="34"/>
      <c r="U330" s="34"/>
      <c r="V330" s="34"/>
      <c r="W330" s="34"/>
      <c r="X330" s="34"/>
      <c r="Y330" s="34"/>
      <c r="Z330" s="34"/>
      <c r="AA330" s="34"/>
    </row>
    <row r="331" spans="1:27" ht="15">
      <c r="A331" s="65" t="s">
        <v>230</v>
      </c>
      <c r="B331" s="65" t="s">
        <v>370</v>
      </c>
      <c r="C331" s="66" t="s">
        <v>2751</v>
      </c>
      <c r="D331" s="67">
        <v>3</v>
      </c>
      <c r="E331" s="68"/>
      <c r="F331" s="69">
        <v>50</v>
      </c>
      <c r="G331" s="66"/>
      <c r="H331" s="70"/>
      <c r="I331" s="71"/>
      <c r="J331" s="71"/>
      <c r="K331" s="34" t="s">
        <v>65</v>
      </c>
      <c r="L331" s="78">
        <v>331</v>
      </c>
      <c r="M331" s="78"/>
      <c r="N331" s="73"/>
      <c r="O331" s="89" t="s">
        <v>494</v>
      </c>
      <c r="P331">
        <v>1</v>
      </c>
      <c r="Q331" s="88" t="str">
        <f>REPLACE(INDEX(GroupVertices[Group],MATCH(Edges[[#This Row],[Vertex 1]],GroupVertices[Vertex],0)),1,1,"")</f>
        <v>1</v>
      </c>
      <c r="R331" s="88" t="str">
        <f>REPLACE(INDEX(GroupVertices[Group],MATCH(Edges[[#This Row],[Vertex 2]],GroupVertices[Vertex],0)),1,1,"")</f>
        <v>1</v>
      </c>
      <c r="S331" s="34"/>
      <c r="T331" s="34"/>
      <c r="U331" s="34"/>
      <c r="V331" s="34"/>
      <c r="W331" s="34"/>
      <c r="X331" s="34"/>
      <c r="Y331" s="34"/>
      <c r="Z331" s="34"/>
      <c r="AA331" s="34"/>
    </row>
    <row r="332" spans="1:27" ht="15">
      <c r="A332" s="65" t="s">
        <v>230</v>
      </c>
      <c r="B332" s="65" t="s">
        <v>262</v>
      </c>
      <c r="C332" s="66" t="s">
        <v>2751</v>
      </c>
      <c r="D332" s="67">
        <v>3</v>
      </c>
      <c r="E332" s="68"/>
      <c r="F332" s="69">
        <v>50</v>
      </c>
      <c r="G332" s="66"/>
      <c r="H332" s="70"/>
      <c r="I332" s="71"/>
      <c r="J332" s="71"/>
      <c r="K332" s="34" t="s">
        <v>65</v>
      </c>
      <c r="L332" s="78">
        <v>332</v>
      </c>
      <c r="M332" s="78"/>
      <c r="N332" s="73"/>
      <c r="O332" s="89" t="s">
        <v>494</v>
      </c>
      <c r="P332">
        <v>1</v>
      </c>
      <c r="Q332" s="88" t="str">
        <f>REPLACE(INDEX(GroupVertices[Group],MATCH(Edges[[#This Row],[Vertex 1]],GroupVertices[Vertex],0)),1,1,"")</f>
        <v>1</v>
      </c>
      <c r="R332" s="88" t="str">
        <f>REPLACE(INDEX(GroupVertices[Group],MATCH(Edges[[#This Row],[Vertex 2]],GroupVertices[Vertex],0)),1,1,"")</f>
        <v>2</v>
      </c>
      <c r="S332" s="34"/>
      <c r="T332" s="34"/>
      <c r="U332" s="34"/>
      <c r="V332" s="34"/>
      <c r="W332" s="34"/>
      <c r="X332" s="34"/>
      <c r="Y332" s="34"/>
      <c r="Z332" s="34"/>
      <c r="AA332" s="34"/>
    </row>
    <row r="333" spans="1:27" ht="15">
      <c r="A333" s="65" t="s">
        <v>230</v>
      </c>
      <c r="B333" s="65" t="s">
        <v>381</v>
      </c>
      <c r="C333" s="66" t="s">
        <v>2751</v>
      </c>
      <c r="D333" s="67">
        <v>3</v>
      </c>
      <c r="E333" s="68"/>
      <c r="F333" s="69">
        <v>50</v>
      </c>
      <c r="G333" s="66"/>
      <c r="H333" s="70"/>
      <c r="I333" s="71"/>
      <c r="J333" s="71"/>
      <c r="K333" s="34" t="s">
        <v>65</v>
      </c>
      <c r="L333" s="78">
        <v>333</v>
      </c>
      <c r="M333" s="78"/>
      <c r="N333" s="73"/>
      <c r="O333" s="89" t="s">
        <v>494</v>
      </c>
      <c r="P333">
        <v>1</v>
      </c>
      <c r="Q333" s="88" t="str">
        <f>REPLACE(INDEX(GroupVertices[Group],MATCH(Edges[[#This Row],[Vertex 1]],GroupVertices[Vertex],0)),1,1,"")</f>
        <v>1</v>
      </c>
      <c r="R333" s="88" t="str">
        <f>REPLACE(INDEX(GroupVertices[Group],MATCH(Edges[[#This Row],[Vertex 2]],GroupVertices[Vertex],0)),1,1,"")</f>
        <v>1</v>
      </c>
      <c r="S333" s="34"/>
      <c r="T333" s="34"/>
      <c r="U333" s="34"/>
      <c r="V333" s="34"/>
      <c r="W333" s="34"/>
      <c r="X333" s="34"/>
      <c r="Y333" s="34"/>
      <c r="Z333" s="34"/>
      <c r="AA333" s="34"/>
    </row>
    <row r="334" spans="1:27" ht="15">
      <c r="A334" s="65" t="s">
        <v>230</v>
      </c>
      <c r="B334" s="65" t="s">
        <v>425</v>
      </c>
      <c r="C334" s="66" t="s">
        <v>2751</v>
      </c>
      <c r="D334" s="67">
        <v>3</v>
      </c>
      <c r="E334" s="68"/>
      <c r="F334" s="69">
        <v>50</v>
      </c>
      <c r="G334" s="66"/>
      <c r="H334" s="70"/>
      <c r="I334" s="71"/>
      <c r="J334" s="71"/>
      <c r="K334" s="34" t="s">
        <v>65</v>
      </c>
      <c r="L334" s="78">
        <v>334</v>
      </c>
      <c r="M334" s="78"/>
      <c r="N334" s="73"/>
      <c r="O334" s="89" t="s">
        <v>494</v>
      </c>
      <c r="P334">
        <v>1</v>
      </c>
      <c r="Q334" s="88" t="str">
        <f>REPLACE(INDEX(GroupVertices[Group],MATCH(Edges[[#This Row],[Vertex 1]],GroupVertices[Vertex],0)),1,1,"")</f>
        <v>1</v>
      </c>
      <c r="R334" s="88" t="str">
        <f>REPLACE(INDEX(GroupVertices[Group],MATCH(Edges[[#This Row],[Vertex 2]],GroupVertices[Vertex],0)),1,1,"")</f>
        <v>1</v>
      </c>
      <c r="S334" s="34"/>
      <c r="T334" s="34"/>
      <c r="U334" s="34"/>
      <c r="V334" s="34"/>
      <c r="W334" s="34"/>
      <c r="X334" s="34"/>
      <c r="Y334" s="34"/>
      <c r="Z334" s="34"/>
      <c r="AA334" s="34"/>
    </row>
    <row r="335" spans="1:27" ht="15">
      <c r="A335" s="65" t="s">
        <v>230</v>
      </c>
      <c r="B335" s="65" t="s">
        <v>431</v>
      </c>
      <c r="C335" s="66" t="s">
        <v>2751</v>
      </c>
      <c r="D335" s="67">
        <v>3</v>
      </c>
      <c r="E335" s="68"/>
      <c r="F335" s="69">
        <v>50</v>
      </c>
      <c r="G335" s="66"/>
      <c r="H335" s="70"/>
      <c r="I335" s="71"/>
      <c r="J335" s="71"/>
      <c r="K335" s="34" t="s">
        <v>65</v>
      </c>
      <c r="L335" s="78">
        <v>335</v>
      </c>
      <c r="M335" s="78"/>
      <c r="N335" s="73"/>
      <c r="O335" s="89" t="s">
        <v>494</v>
      </c>
      <c r="P335">
        <v>1</v>
      </c>
      <c r="Q335" s="88" t="str">
        <f>REPLACE(INDEX(GroupVertices[Group],MATCH(Edges[[#This Row],[Vertex 1]],GroupVertices[Vertex],0)),1,1,"")</f>
        <v>1</v>
      </c>
      <c r="R335" s="88" t="str">
        <f>REPLACE(INDEX(GroupVertices[Group],MATCH(Edges[[#This Row],[Vertex 2]],GroupVertices[Vertex],0)),1,1,"")</f>
        <v>1</v>
      </c>
      <c r="S335" s="34"/>
      <c r="T335" s="34"/>
      <c r="U335" s="34"/>
      <c r="V335" s="34"/>
      <c r="W335" s="34"/>
      <c r="X335" s="34"/>
      <c r="Y335" s="34"/>
      <c r="Z335" s="34"/>
      <c r="AA335" s="34"/>
    </row>
    <row r="336" spans="1:27" ht="15">
      <c r="A336" s="65" t="s">
        <v>230</v>
      </c>
      <c r="B336" s="65" t="s">
        <v>319</v>
      </c>
      <c r="C336" s="66" t="s">
        <v>2751</v>
      </c>
      <c r="D336" s="67">
        <v>3</v>
      </c>
      <c r="E336" s="68"/>
      <c r="F336" s="69">
        <v>50</v>
      </c>
      <c r="G336" s="66"/>
      <c r="H336" s="70"/>
      <c r="I336" s="71"/>
      <c r="J336" s="71"/>
      <c r="K336" s="34" t="s">
        <v>65</v>
      </c>
      <c r="L336" s="78">
        <v>336</v>
      </c>
      <c r="M336" s="78"/>
      <c r="N336" s="73"/>
      <c r="O336" s="89" t="s">
        <v>494</v>
      </c>
      <c r="P336">
        <v>1</v>
      </c>
      <c r="Q336" s="88" t="str">
        <f>REPLACE(INDEX(GroupVertices[Group],MATCH(Edges[[#This Row],[Vertex 1]],GroupVertices[Vertex],0)),1,1,"")</f>
        <v>1</v>
      </c>
      <c r="R336" s="88" t="str">
        <f>REPLACE(INDEX(GroupVertices[Group],MATCH(Edges[[#This Row],[Vertex 2]],GroupVertices[Vertex],0)),1,1,"")</f>
        <v>2</v>
      </c>
      <c r="S336" s="34"/>
      <c r="T336" s="34"/>
      <c r="U336" s="34"/>
      <c r="V336" s="34"/>
      <c r="W336" s="34"/>
      <c r="X336" s="34"/>
      <c r="Y336" s="34"/>
      <c r="Z336" s="34"/>
      <c r="AA336" s="34"/>
    </row>
    <row r="337" spans="1:27" ht="15">
      <c r="A337" s="65" t="s">
        <v>230</v>
      </c>
      <c r="B337" s="65" t="s">
        <v>432</v>
      </c>
      <c r="C337" s="66" t="s">
        <v>2751</v>
      </c>
      <c r="D337" s="67">
        <v>3</v>
      </c>
      <c r="E337" s="68"/>
      <c r="F337" s="69">
        <v>50</v>
      </c>
      <c r="G337" s="66"/>
      <c r="H337" s="70"/>
      <c r="I337" s="71"/>
      <c r="J337" s="71"/>
      <c r="K337" s="34" t="s">
        <v>65</v>
      </c>
      <c r="L337" s="78">
        <v>337</v>
      </c>
      <c r="M337" s="78"/>
      <c r="N337" s="73"/>
      <c r="O337" s="89" t="s">
        <v>494</v>
      </c>
      <c r="P337">
        <v>1</v>
      </c>
      <c r="Q337" s="88" t="str">
        <f>REPLACE(INDEX(GroupVertices[Group],MATCH(Edges[[#This Row],[Vertex 1]],GroupVertices[Vertex],0)),1,1,"")</f>
        <v>1</v>
      </c>
      <c r="R337" s="88" t="str">
        <f>REPLACE(INDEX(GroupVertices[Group],MATCH(Edges[[#This Row],[Vertex 2]],GroupVertices[Vertex],0)),1,1,"")</f>
        <v>1</v>
      </c>
      <c r="S337" s="34"/>
      <c r="T337" s="34"/>
      <c r="U337" s="34"/>
      <c r="V337" s="34"/>
      <c r="W337" s="34"/>
      <c r="X337" s="34"/>
      <c r="Y337" s="34"/>
      <c r="Z337" s="34"/>
      <c r="AA337" s="34"/>
    </row>
    <row r="338" spans="1:27" ht="15">
      <c r="A338" s="65" t="s">
        <v>230</v>
      </c>
      <c r="B338" s="65" t="s">
        <v>352</v>
      </c>
      <c r="C338" s="66" t="s">
        <v>2751</v>
      </c>
      <c r="D338" s="67">
        <v>3</v>
      </c>
      <c r="E338" s="68"/>
      <c r="F338" s="69">
        <v>50</v>
      </c>
      <c r="G338" s="66"/>
      <c r="H338" s="70"/>
      <c r="I338" s="71"/>
      <c r="J338" s="71"/>
      <c r="K338" s="34" t="s">
        <v>65</v>
      </c>
      <c r="L338" s="78">
        <v>338</v>
      </c>
      <c r="M338" s="78"/>
      <c r="N338" s="73"/>
      <c r="O338" s="89" t="s">
        <v>494</v>
      </c>
      <c r="P338">
        <v>1</v>
      </c>
      <c r="Q338" s="88" t="str">
        <f>REPLACE(INDEX(GroupVertices[Group],MATCH(Edges[[#This Row],[Vertex 1]],GroupVertices[Vertex],0)),1,1,"")</f>
        <v>1</v>
      </c>
      <c r="R338" s="88" t="str">
        <f>REPLACE(INDEX(GroupVertices[Group],MATCH(Edges[[#This Row],[Vertex 2]],GroupVertices[Vertex],0)),1,1,"")</f>
        <v>1</v>
      </c>
      <c r="S338" s="34"/>
      <c r="T338" s="34"/>
      <c r="U338" s="34"/>
      <c r="V338" s="34"/>
      <c r="W338" s="34"/>
      <c r="X338" s="34"/>
      <c r="Y338" s="34"/>
      <c r="Z338" s="34"/>
      <c r="AA338" s="34"/>
    </row>
    <row r="339" spans="1:27" ht="15">
      <c r="A339" s="65" t="s">
        <v>230</v>
      </c>
      <c r="B339" s="65" t="s">
        <v>433</v>
      </c>
      <c r="C339" s="66" t="s">
        <v>2751</v>
      </c>
      <c r="D339" s="67">
        <v>3</v>
      </c>
      <c r="E339" s="68"/>
      <c r="F339" s="69">
        <v>50</v>
      </c>
      <c r="G339" s="66"/>
      <c r="H339" s="70"/>
      <c r="I339" s="71"/>
      <c r="J339" s="71"/>
      <c r="K339" s="34" t="s">
        <v>65</v>
      </c>
      <c r="L339" s="78">
        <v>339</v>
      </c>
      <c r="M339" s="78"/>
      <c r="N339" s="73"/>
      <c r="O339" s="89" t="s">
        <v>494</v>
      </c>
      <c r="P339">
        <v>1</v>
      </c>
      <c r="Q339" s="88" t="str">
        <f>REPLACE(INDEX(GroupVertices[Group],MATCH(Edges[[#This Row],[Vertex 1]],GroupVertices[Vertex],0)),1,1,"")</f>
        <v>1</v>
      </c>
      <c r="R339" s="88" t="str">
        <f>REPLACE(INDEX(GroupVertices[Group],MATCH(Edges[[#This Row],[Vertex 2]],GroupVertices[Vertex],0)),1,1,"")</f>
        <v>1</v>
      </c>
      <c r="S339" s="34"/>
      <c r="T339" s="34"/>
      <c r="U339" s="34"/>
      <c r="V339" s="34"/>
      <c r="W339" s="34"/>
      <c r="X339" s="34"/>
      <c r="Y339" s="34"/>
      <c r="Z339" s="34"/>
      <c r="AA339" s="34"/>
    </row>
    <row r="340" spans="1:27" ht="15">
      <c r="A340" s="65" t="s">
        <v>230</v>
      </c>
      <c r="B340" s="65" t="s">
        <v>434</v>
      </c>
      <c r="C340" s="66" t="s">
        <v>2751</v>
      </c>
      <c r="D340" s="67">
        <v>3</v>
      </c>
      <c r="E340" s="68"/>
      <c r="F340" s="69">
        <v>50</v>
      </c>
      <c r="G340" s="66"/>
      <c r="H340" s="70"/>
      <c r="I340" s="71"/>
      <c r="J340" s="71"/>
      <c r="K340" s="34" t="s">
        <v>65</v>
      </c>
      <c r="L340" s="78">
        <v>340</v>
      </c>
      <c r="M340" s="78"/>
      <c r="N340" s="73"/>
      <c r="O340" s="89" t="s">
        <v>494</v>
      </c>
      <c r="P340">
        <v>1</v>
      </c>
      <c r="Q340" s="88" t="str">
        <f>REPLACE(INDEX(GroupVertices[Group],MATCH(Edges[[#This Row],[Vertex 1]],GroupVertices[Vertex],0)),1,1,"")</f>
        <v>1</v>
      </c>
      <c r="R340" s="88" t="str">
        <f>REPLACE(INDEX(GroupVertices[Group],MATCH(Edges[[#This Row],[Vertex 2]],GroupVertices[Vertex],0)),1,1,"")</f>
        <v>1</v>
      </c>
      <c r="S340" s="34"/>
      <c r="T340" s="34"/>
      <c r="U340" s="34"/>
      <c r="V340" s="34"/>
      <c r="W340" s="34"/>
      <c r="X340" s="34"/>
      <c r="Y340" s="34"/>
      <c r="Z340" s="34"/>
      <c r="AA340" s="34"/>
    </row>
    <row r="341" spans="1:27" ht="15">
      <c r="A341" s="65" t="s">
        <v>230</v>
      </c>
      <c r="B341" s="65" t="s">
        <v>228</v>
      </c>
      <c r="C341" s="66" t="s">
        <v>2751</v>
      </c>
      <c r="D341" s="67">
        <v>3</v>
      </c>
      <c r="E341" s="68"/>
      <c r="F341" s="69">
        <v>50</v>
      </c>
      <c r="G341" s="66"/>
      <c r="H341" s="70"/>
      <c r="I341" s="71"/>
      <c r="J341" s="71"/>
      <c r="K341" s="34" t="s">
        <v>65</v>
      </c>
      <c r="L341" s="78">
        <v>341</v>
      </c>
      <c r="M341" s="78"/>
      <c r="N341" s="73"/>
      <c r="O341" s="89" t="s">
        <v>494</v>
      </c>
      <c r="P341">
        <v>1</v>
      </c>
      <c r="Q341" s="88" t="str">
        <f>REPLACE(INDEX(GroupVertices[Group],MATCH(Edges[[#This Row],[Vertex 1]],GroupVertices[Vertex],0)),1,1,"")</f>
        <v>1</v>
      </c>
      <c r="R341" s="88" t="str">
        <f>REPLACE(INDEX(GroupVertices[Group],MATCH(Edges[[#This Row],[Vertex 2]],GroupVertices[Vertex],0)),1,1,"")</f>
        <v>9</v>
      </c>
      <c r="S341" s="34"/>
      <c r="T341" s="34"/>
      <c r="U341" s="34"/>
      <c r="V341" s="34"/>
      <c r="W341" s="34"/>
      <c r="X341" s="34"/>
      <c r="Y341" s="34"/>
      <c r="Z341" s="34"/>
      <c r="AA341" s="34"/>
    </row>
    <row r="342" spans="1:27" ht="15">
      <c r="A342" s="65" t="s">
        <v>230</v>
      </c>
      <c r="B342" s="65" t="s">
        <v>435</v>
      </c>
      <c r="C342" s="66" t="s">
        <v>2751</v>
      </c>
      <c r="D342" s="67">
        <v>3</v>
      </c>
      <c r="E342" s="68"/>
      <c r="F342" s="69">
        <v>50</v>
      </c>
      <c r="G342" s="66"/>
      <c r="H342" s="70"/>
      <c r="I342" s="71"/>
      <c r="J342" s="71"/>
      <c r="K342" s="34" t="s">
        <v>65</v>
      </c>
      <c r="L342" s="78">
        <v>342</v>
      </c>
      <c r="M342" s="78"/>
      <c r="N342" s="73"/>
      <c r="O342" s="89" t="s">
        <v>494</v>
      </c>
      <c r="P342">
        <v>1</v>
      </c>
      <c r="Q342" s="88" t="str">
        <f>REPLACE(INDEX(GroupVertices[Group],MATCH(Edges[[#This Row],[Vertex 1]],GroupVertices[Vertex],0)),1,1,"")</f>
        <v>1</v>
      </c>
      <c r="R342" s="88" t="str">
        <f>REPLACE(INDEX(GroupVertices[Group],MATCH(Edges[[#This Row],[Vertex 2]],GroupVertices[Vertex],0)),1,1,"")</f>
        <v>1</v>
      </c>
      <c r="S342" s="34"/>
      <c r="T342" s="34"/>
      <c r="U342" s="34"/>
      <c r="V342" s="34"/>
      <c r="W342" s="34"/>
      <c r="X342" s="34"/>
      <c r="Y342" s="34"/>
      <c r="Z342" s="34"/>
      <c r="AA342" s="34"/>
    </row>
    <row r="343" spans="1:27" ht="15">
      <c r="A343" s="65" t="s">
        <v>231</v>
      </c>
      <c r="B343" s="65" t="s">
        <v>436</v>
      </c>
      <c r="C343" s="66" t="s">
        <v>2751</v>
      </c>
      <c r="D343" s="67">
        <v>3</v>
      </c>
      <c r="E343" s="68"/>
      <c r="F343" s="69">
        <v>50</v>
      </c>
      <c r="G343" s="66"/>
      <c r="H343" s="70"/>
      <c r="I343" s="71"/>
      <c r="J343" s="71"/>
      <c r="K343" s="34" t="s">
        <v>65</v>
      </c>
      <c r="L343" s="78">
        <v>343</v>
      </c>
      <c r="M343" s="78"/>
      <c r="N343" s="73"/>
      <c r="O343" s="89" t="s">
        <v>494</v>
      </c>
      <c r="P343">
        <v>1</v>
      </c>
      <c r="Q343" s="88" t="str">
        <f>REPLACE(INDEX(GroupVertices[Group],MATCH(Edges[[#This Row],[Vertex 1]],GroupVertices[Vertex],0)),1,1,"")</f>
        <v>8</v>
      </c>
      <c r="R343" s="88" t="str">
        <f>REPLACE(INDEX(GroupVertices[Group],MATCH(Edges[[#This Row],[Vertex 2]],GroupVertices[Vertex],0)),1,1,"")</f>
        <v>8</v>
      </c>
      <c r="S343" s="34"/>
      <c r="T343" s="34"/>
      <c r="U343" s="34"/>
      <c r="V343" s="34"/>
      <c r="W343" s="34"/>
      <c r="X343" s="34"/>
      <c r="Y343" s="34"/>
      <c r="Z343" s="34"/>
      <c r="AA343" s="34"/>
    </row>
    <row r="344" spans="1:27" ht="15">
      <c r="A344" s="65" t="s">
        <v>231</v>
      </c>
      <c r="B344" s="65" t="s">
        <v>437</v>
      </c>
      <c r="C344" s="66" t="s">
        <v>2751</v>
      </c>
      <c r="D344" s="67">
        <v>3</v>
      </c>
      <c r="E344" s="68"/>
      <c r="F344" s="69">
        <v>50</v>
      </c>
      <c r="G344" s="66"/>
      <c r="H344" s="70"/>
      <c r="I344" s="71"/>
      <c r="J344" s="71"/>
      <c r="K344" s="34" t="s">
        <v>65</v>
      </c>
      <c r="L344" s="78">
        <v>344</v>
      </c>
      <c r="M344" s="78"/>
      <c r="N344" s="73"/>
      <c r="O344" s="89" t="s">
        <v>494</v>
      </c>
      <c r="P344">
        <v>1</v>
      </c>
      <c r="Q344" s="88" t="str">
        <f>REPLACE(INDEX(GroupVertices[Group],MATCH(Edges[[#This Row],[Vertex 1]],GroupVertices[Vertex],0)),1,1,"")</f>
        <v>8</v>
      </c>
      <c r="R344" s="88" t="str">
        <f>REPLACE(INDEX(GroupVertices[Group],MATCH(Edges[[#This Row],[Vertex 2]],GroupVertices[Vertex],0)),1,1,"")</f>
        <v>8</v>
      </c>
      <c r="S344" s="34"/>
      <c r="T344" s="34"/>
      <c r="U344" s="34"/>
      <c r="V344" s="34"/>
      <c r="W344" s="34"/>
      <c r="X344" s="34"/>
      <c r="Y344" s="34"/>
      <c r="Z344" s="34"/>
      <c r="AA344" s="34"/>
    </row>
    <row r="345" spans="1:27" ht="15">
      <c r="A345" s="65" t="s">
        <v>231</v>
      </c>
      <c r="B345" s="65" t="s">
        <v>438</v>
      </c>
      <c r="C345" s="66" t="s">
        <v>2751</v>
      </c>
      <c r="D345" s="67">
        <v>3</v>
      </c>
      <c r="E345" s="68"/>
      <c r="F345" s="69">
        <v>50</v>
      </c>
      <c r="G345" s="66"/>
      <c r="H345" s="70"/>
      <c r="I345" s="71"/>
      <c r="J345" s="71"/>
      <c r="K345" s="34" t="s">
        <v>65</v>
      </c>
      <c r="L345" s="78">
        <v>345</v>
      </c>
      <c r="M345" s="78"/>
      <c r="N345" s="73"/>
      <c r="O345" s="89" t="s">
        <v>494</v>
      </c>
      <c r="P345">
        <v>1</v>
      </c>
      <c r="Q345" s="88" t="str">
        <f>REPLACE(INDEX(GroupVertices[Group],MATCH(Edges[[#This Row],[Vertex 1]],GroupVertices[Vertex],0)),1,1,"")</f>
        <v>8</v>
      </c>
      <c r="R345" s="88" t="str">
        <f>REPLACE(INDEX(GroupVertices[Group],MATCH(Edges[[#This Row],[Vertex 2]],GroupVertices[Vertex],0)),1,1,"")</f>
        <v>8</v>
      </c>
      <c r="S345" s="34"/>
      <c r="T345" s="34"/>
      <c r="U345" s="34"/>
      <c r="V345" s="34"/>
      <c r="W345" s="34"/>
      <c r="X345" s="34"/>
      <c r="Y345" s="34"/>
      <c r="Z345" s="34"/>
      <c r="AA345" s="34"/>
    </row>
    <row r="346" spans="1:27" ht="15">
      <c r="A346" s="65" t="s">
        <v>231</v>
      </c>
      <c r="B346" s="65" t="s">
        <v>439</v>
      </c>
      <c r="C346" s="66" t="s">
        <v>2751</v>
      </c>
      <c r="D346" s="67">
        <v>3</v>
      </c>
      <c r="E346" s="68"/>
      <c r="F346" s="69">
        <v>50</v>
      </c>
      <c r="G346" s="66"/>
      <c r="H346" s="70"/>
      <c r="I346" s="71"/>
      <c r="J346" s="71"/>
      <c r="K346" s="34" t="s">
        <v>65</v>
      </c>
      <c r="L346" s="78">
        <v>346</v>
      </c>
      <c r="M346" s="78"/>
      <c r="N346" s="73"/>
      <c r="O346" s="89" t="s">
        <v>494</v>
      </c>
      <c r="P346">
        <v>1</v>
      </c>
      <c r="Q346" s="88" t="str">
        <f>REPLACE(INDEX(GroupVertices[Group],MATCH(Edges[[#This Row],[Vertex 1]],GroupVertices[Vertex],0)),1,1,"")</f>
        <v>8</v>
      </c>
      <c r="R346" s="88" t="str">
        <f>REPLACE(INDEX(GroupVertices[Group],MATCH(Edges[[#This Row],[Vertex 2]],GroupVertices[Vertex],0)),1,1,"")</f>
        <v>8</v>
      </c>
      <c r="S346" s="34"/>
      <c r="T346" s="34"/>
      <c r="U346" s="34"/>
      <c r="V346" s="34"/>
      <c r="W346" s="34"/>
      <c r="X346" s="34"/>
      <c r="Y346" s="34"/>
      <c r="Z346" s="34"/>
      <c r="AA346" s="34"/>
    </row>
    <row r="347" spans="1:27" ht="15">
      <c r="A347" s="65" t="s">
        <v>231</v>
      </c>
      <c r="B347" s="65" t="s">
        <v>440</v>
      </c>
      <c r="C347" s="66" t="s">
        <v>2751</v>
      </c>
      <c r="D347" s="67">
        <v>3</v>
      </c>
      <c r="E347" s="68"/>
      <c r="F347" s="69">
        <v>50</v>
      </c>
      <c r="G347" s="66"/>
      <c r="H347" s="70"/>
      <c r="I347" s="71"/>
      <c r="J347" s="71"/>
      <c r="K347" s="34" t="s">
        <v>65</v>
      </c>
      <c r="L347" s="78">
        <v>347</v>
      </c>
      <c r="M347" s="78"/>
      <c r="N347" s="73"/>
      <c r="O347" s="89" t="s">
        <v>494</v>
      </c>
      <c r="P347">
        <v>1</v>
      </c>
      <c r="Q347" s="88" t="str">
        <f>REPLACE(INDEX(GroupVertices[Group],MATCH(Edges[[#This Row],[Vertex 1]],GroupVertices[Vertex],0)),1,1,"")</f>
        <v>8</v>
      </c>
      <c r="R347" s="88" t="str">
        <f>REPLACE(INDEX(GroupVertices[Group],MATCH(Edges[[#This Row],[Vertex 2]],GroupVertices[Vertex],0)),1,1,"")</f>
        <v>8</v>
      </c>
      <c r="S347" s="34"/>
      <c r="T347" s="34"/>
      <c r="U347" s="34"/>
      <c r="V347" s="34"/>
      <c r="W347" s="34"/>
      <c r="X347" s="34"/>
      <c r="Y347" s="34"/>
      <c r="Z347" s="34"/>
      <c r="AA347" s="34"/>
    </row>
    <row r="348" spans="1:27" ht="15">
      <c r="A348" s="65" t="s">
        <v>231</v>
      </c>
      <c r="B348" s="65" t="s">
        <v>441</v>
      </c>
      <c r="C348" s="66" t="s">
        <v>2751</v>
      </c>
      <c r="D348" s="67">
        <v>3</v>
      </c>
      <c r="E348" s="68"/>
      <c r="F348" s="69">
        <v>50</v>
      </c>
      <c r="G348" s="66"/>
      <c r="H348" s="70"/>
      <c r="I348" s="71"/>
      <c r="J348" s="71"/>
      <c r="K348" s="34" t="s">
        <v>65</v>
      </c>
      <c r="L348" s="78">
        <v>348</v>
      </c>
      <c r="M348" s="78"/>
      <c r="N348" s="73"/>
      <c r="O348" s="89" t="s">
        <v>494</v>
      </c>
      <c r="P348">
        <v>1</v>
      </c>
      <c r="Q348" s="88" t="str">
        <f>REPLACE(INDEX(GroupVertices[Group],MATCH(Edges[[#This Row],[Vertex 1]],GroupVertices[Vertex],0)),1,1,"")</f>
        <v>8</v>
      </c>
      <c r="R348" s="88" t="str">
        <f>REPLACE(INDEX(GroupVertices[Group],MATCH(Edges[[#This Row],[Vertex 2]],GroupVertices[Vertex],0)),1,1,"")</f>
        <v>8</v>
      </c>
      <c r="S348" s="34"/>
      <c r="T348" s="34"/>
      <c r="U348" s="34"/>
      <c r="V348" s="34"/>
      <c r="W348" s="34"/>
      <c r="X348" s="34"/>
      <c r="Y348" s="34"/>
      <c r="Z348" s="34"/>
      <c r="AA348" s="34"/>
    </row>
    <row r="349" spans="1:27" ht="15">
      <c r="A349" s="65" t="s">
        <v>231</v>
      </c>
      <c r="B349" s="65" t="s">
        <v>442</v>
      </c>
      <c r="C349" s="66" t="s">
        <v>2751</v>
      </c>
      <c r="D349" s="67">
        <v>3</v>
      </c>
      <c r="E349" s="68"/>
      <c r="F349" s="69">
        <v>50</v>
      </c>
      <c r="G349" s="66"/>
      <c r="H349" s="70"/>
      <c r="I349" s="71"/>
      <c r="J349" s="71"/>
      <c r="K349" s="34" t="s">
        <v>65</v>
      </c>
      <c r="L349" s="78">
        <v>349</v>
      </c>
      <c r="M349" s="78"/>
      <c r="N349" s="73"/>
      <c r="O349" s="89" t="s">
        <v>494</v>
      </c>
      <c r="P349">
        <v>1</v>
      </c>
      <c r="Q349" s="88" t="str">
        <f>REPLACE(INDEX(GroupVertices[Group],MATCH(Edges[[#This Row],[Vertex 1]],GroupVertices[Vertex],0)),1,1,"")</f>
        <v>8</v>
      </c>
      <c r="R349" s="88" t="str">
        <f>REPLACE(INDEX(GroupVertices[Group],MATCH(Edges[[#This Row],[Vertex 2]],GroupVertices[Vertex],0)),1,1,"")</f>
        <v>8</v>
      </c>
      <c r="S349" s="34"/>
      <c r="T349" s="34"/>
      <c r="U349" s="34"/>
      <c r="V349" s="34"/>
      <c r="W349" s="34"/>
      <c r="X349" s="34"/>
      <c r="Y349" s="34"/>
      <c r="Z349" s="34"/>
      <c r="AA349" s="34"/>
    </row>
    <row r="350" spans="1:27" ht="15">
      <c r="A350" s="65" t="s">
        <v>231</v>
      </c>
      <c r="B350" s="65" t="s">
        <v>443</v>
      </c>
      <c r="C350" s="66" t="s">
        <v>2751</v>
      </c>
      <c r="D350" s="67">
        <v>3</v>
      </c>
      <c r="E350" s="68"/>
      <c r="F350" s="69">
        <v>50</v>
      </c>
      <c r="G350" s="66"/>
      <c r="H350" s="70"/>
      <c r="I350" s="71"/>
      <c r="J350" s="71"/>
      <c r="K350" s="34" t="s">
        <v>65</v>
      </c>
      <c r="L350" s="78">
        <v>350</v>
      </c>
      <c r="M350" s="78"/>
      <c r="N350" s="73"/>
      <c r="O350" s="89" t="s">
        <v>494</v>
      </c>
      <c r="P350">
        <v>1</v>
      </c>
      <c r="Q350" s="88" t="str">
        <f>REPLACE(INDEX(GroupVertices[Group],MATCH(Edges[[#This Row],[Vertex 1]],GroupVertices[Vertex],0)),1,1,"")</f>
        <v>8</v>
      </c>
      <c r="R350" s="88" t="str">
        <f>REPLACE(INDEX(GroupVertices[Group],MATCH(Edges[[#This Row],[Vertex 2]],GroupVertices[Vertex],0)),1,1,"")</f>
        <v>8</v>
      </c>
      <c r="S350" s="34"/>
      <c r="T350" s="34"/>
      <c r="U350" s="34"/>
      <c r="V350" s="34"/>
      <c r="W350" s="34"/>
      <c r="X350" s="34"/>
      <c r="Y350" s="34"/>
      <c r="Z350" s="34"/>
      <c r="AA350" s="34"/>
    </row>
    <row r="351" spans="1:27" ht="15">
      <c r="A351" s="65" t="s">
        <v>231</v>
      </c>
      <c r="B351" s="65" t="s">
        <v>444</v>
      </c>
      <c r="C351" s="66" t="s">
        <v>2751</v>
      </c>
      <c r="D351" s="67">
        <v>3</v>
      </c>
      <c r="E351" s="68"/>
      <c r="F351" s="69">
        <v>50</v>
      </c>
      <c r="G351" s="66"/>
      <c r="H351" s="70"/>
      <c r="I351" s="71"/>
      <c r="J351" s="71"/>
      <c r="K351" s="34" t="s">
        <v>65</v>
      </c>
      <c r="L351" s="78">
        <v>351</v>
      </c>
      <c r="M351" s="78"/>
      <c r="N351" s="73"/>
      <c r="O351" s="89" t="s">
        <v>494</v>
      </c>
      <c r="P351">
        <v>1</v>
      </c>
      <c r="Q351" s="88" t="str">
        <f>REPLACE(INDEX(GroupVertices[Group],MATCH(Edges[[#This Row],[Vertex 1]],GroupVertices[Vertex],0)),1,1,"")</f>
        <v>8</v>
      </c>
      <c r="R351" s="88" t="str">
        <f>REPLACE(INDEX(GroupVertices[Group],MATCH(Edges[[#This Row],[Vertex 2]],GroupVertices[Vertex],0)),1,1,"")</f>
        <v>8</v>
      </c>
      <c r="S351" s="34"/>
      <c r="T351" s="34"/>
      <c r="U351" s="34"/>
      <c r="V351" s="34"/>
      <c r="W351" s="34"/>
      <c r="X351" s="34"/>
      <c r="Y351" s="34"/>
      <c r="Z351" s="34"/>
      <c r="AA351" s="34"/>
    </row>
    <row r="352" spans="1:27" ht="15">
      <c r="A352" s="65" t="s">
        <v>231</v>
      </c>
      <c r="B352" s="65" t="s">
        <v>445</v>
      </c>
      <c r="C352" s="66" t="s">
        <v>2751</v>
      </c>
      <c r="D352" s="67">
        <v>3</v>
      </c>
      <c r="E352" s="68"/>
      <c r="F352" s="69">
        <v>50</v>
      </c>
      <c r="G352" s="66"/>
      <c r="H352" s="70"/>
      <c r="I352" s="71"/>
      <c r="J352" s="71"/>
      <c r="K352" s="34" t="s">
        <v>65</v>
      </c>
      <c r="L352" s="78">
        <v>352</v>
      </c>
      <c r="M352" s="78"/>
      <c r="N352" s="73"/>
      <c r="O352" s="89" t="s">
        <v>494</v>
      </c>
      <c r="P352">
        <v>1</v>
      </c>
      <c r="Q352" s="88" t="str">
        <f>REPLACE(INDEX(GroupVertices[Group],MATCH(Edges[[#This Row],[Vertex 1]],GroupVertices[Vertex],0)),1,1,"")</f>
        <v>8</v>
      </c>
      <c r="R352" s="88" t="str">
        <f>REPLACE(INDEX(GroupVertices[Group],MATCH(Edges[[#This Row],[Vertex 2]],GroupVertices[Vertex],0)),1,1,"")</f>
        <v>8</v>
      </c>
      <c r="S352" s="34"/>
      <c r="T352" s="34"/>
      <c r="U352" s="34"/>
      <c r="V352" s="34"/>
      <c r="W352" s="34"/>
      <c r="X352" s="34"/>
      <c r="Y352" s="34"/>
      <c r="Z352" s="34"/>
      <c r="AA352" s="34"/>
    </row>
    <row r="353" spans="1:27" ht="15">
      <c r="A353" s="65" t="s">
        <v>231</v>
      </c>
      <c r="B353" s="65" t="s">
        <v>446</v>
      </c>
      <c r="C353" s="66" t="s">
        <v>2751</v>
      </c>
      <c r="D353" s="67">
        <v>3</v>
      </c>
      <c r="E353" s="68"/>
      <c r="F353" s="69">
        <v>50</v>
      </c>
      <c r="G353" s="66"/>
      <c r="H353" s="70"/>
      <c r="I353" s="71"/>
      <c r="J353" s="71"/>
      <c r="K353" s="34" t="s">
        <v>65</v>
      </c>
      <c r="L353" s="78">
        <v>353</v>
      </c>
      <c r="M353" s="78"/>
      <c r="N353" s="73"/>
      <c r="O353" s="89" t="s">
        <v>494</v>
      </c>
      <c r="P353">
        <v>1</v>
      </c>
      <c r="Q353" s="88" t="str">
        <f>REPLACE(INDEX(GroupVertices[Group],MATCH(Edges[[#This Row],[Vertex 1]],GroupVertices[Vertex],0)),1,1,"")</f>
        <v>8</v>
      </c>
      <c r="R353" s="88" t="str">
        <f>REPLACE(INDEX(GroupVertices[Group],MATCH(Edges[[#This Row],[Vertex 2]],GroupVertices[Vertex],0)),1,1,"")</f>
        <v>8</v>
      </c>
      <c r="S353" s="34"/>
      <c r="T353" s="34"/>
      <c r="U353" s="34"/>
      <c r="V353" s="34"/>
      <c r="W353" s="34"/>
      <c r="X353" s="34"/>
      <c r="Y353" s="34"/>
      <c r="Z353" s="34"/>
      <c r="AA353" s="34"/>
    </row>
    <row r="354" spans="1:27" ht="15">
      <c r="A354" s="65" t="s">
        <v>231</v>
      </c>
      <c r="B354" s="65" t="s">
        <v>447</v>
      </c>
      <c r="C354" s="66" t="s">
        <v>2751</v>
      </c>
      <c r="D354" s="67">
        <v>3</v>
      </c>
      <c r="E354" s="68"/>
      <c r="F354" s="69">
        <v>50</v>
      </c>
      <c r="G354" s="66"/>
      <c r="H354" s="70"/>
      <c r="I354" s="71"/>
      <c r="J354" s="71"/>
      <c r="K354" s="34" t="s">
        <v>65</v>
      </c>
      <c r="L354" s="78">
        <v>354</v>
      </c>
      <c r="M354" s="78"/>
      <c r="N354" s="73"/>
      <c r="O354" s="89" t="s">
        <v>494</v>
      </c>
      <c r="P354">
        <v>1</v>
      </c>
      <c r="Q354" s="88" t="str">
        <f>REPLACE(INDEX(GroupVertices[Group],MATCH(Edges[[#This Row],[Vertex 1]],GroupVertices[Vertex],0)),1,1,"")</f>
        <v>8</v>
      </c>
      <c r="R354" s="88" t="str">
        <f>REPLACE(INDEX(GroupVertices[Group],MATCH(Edges[[#This Row],[Vertex 2]],GroupVertices[Vertex],0)),1,1,"")</f>
        <v>8</v>
      </c>
      <c r="S354" s="34"/>
      <c r="T354" s="34"/>
      <c r="U354" s="34"/>
      <c r="V354" s="34"/>
      <c r="W354" s="34"/>
      <c r="X354" s="34"/>
      <c r="Y354" s="34"/>
      <c r="Z354" s="34"/>
      <c r="AA354" s="34"/>
    </row>
    <row r="355" spans="1:27" ht="15">
      <c r="A355" s="65" t="s">
        <v>231</v>
      </c>
      <c r="B355" s="65" t="s">
        <v>448</v>
      </c>
      <c r="C355" s="66" t="s">
        <v>2751</v>
      </c>
      <c r="D355" s="67">
        <v>3</v>
      </c>
      <c r="E355" s="68"/>
      <c r="F355" s="69">
        <v>50</v>
      </c>
      <c r="G355" s="66"/>
      <c r="H355" s="70"/>
      <c r="I355" s="71"/>
      <c r="J355" s="71"/>
      <c r="K355" s="34" t="s">
        <v>65</v>
      </c>
      <c r="L355" s="78">
        <v>355</v>
      </c>
      <c r="M355" s="78"/>
      <c r="N355" s="73"/>
      <c r="O355" s="89" t="s">
        <v>494</v>
      </c>
      <c r="P355">
        <v>1</v>
      </c>
      <c r="Q355" s="88" t="str">
        <f>REPLACE(INDEX(GroupVertices[Group],MATCH(Edges[[#This Row],[Vertex 1]],GroupVertices[Vertex],0)),1,1,"")</f>
        <v>8</v>
      </c>
      <c r="R355" s="88" t="str">
        <f>REPLACE(INDEX(GroupVertices[Group],MATCH(Edges[[#This Row],[Vertex 2]],GroupVertices[Vertex],0)),1,1,"")</f>
        <v>8</v>
      </c>
      <c r="S355" s="34"/>
      <c r="T355" s="34"/>
      <c r="U355" s="34"/>
      <c r="V355" s="34"/>
      <c r="W355" s="34"/>
      <c r="X355" s="34"/>
      <c r="Y355" s="34"/>
      <c r="Z355" s="34"/>
      <c r="AA355" s="34"/>
    </row>
    <row r="356" spans="1:27" ht="15">
      <c r="A356" s="65" t="s">
        <v>231</v>
      </c>
      <c r="B356" s="65" t="s">
        <v>449</v>
      </c>
      <c r="C356" s="66" t="s">
        <v>2751</v>
      </c>
      <c r="D356" s="67">
        <v>3</v>
      </c>
      <c r="E356" s="68"/>
      <c r="F356" s="69">
        <v>50</v>
      </c>
      <c r="G356" s="66"/>
      <c r="H356" s="70"/>
      <c r="I356" s="71"/>
      <c r="J356" s="71"/>
      <c r="K356" s="34" t="s">
        <v>65</v>
      </c>
      <c r="L356" s="78">
        <v>356</v>
      </c>
      <c r="M356" s="78"/>
      <c r="N356" s="73"/>
      <c r="O356" s="89" t="s">
        <v>494</v>
      </c>
      <c r="P356">
        <v>1</v>
      </c>
      <c r="Q356" s="88" t="str">
        <f>REPLACE(INDEX(GroupVertices[Group],MATCH(Edges[[#This Row],[Vertex 1]],GroupVertices[Vertex],0)),1,1,"")</f>
        <v>8</v>
      </c>
      <c r="R356" s="88" t="str">
        <f>REPLACE(INDEX(GroupVertices[Group],MATCH(Edges[[#This Row],[Vertex 2]],GroupVertices[Vertex],0)),1,1,"")</f>
        <v>8</v>
      </c>
      <c r="S356" s="34"/>
      <c r="T356" s="34"/>
      <c r="U356" s="34"/>
      <c r="V356" s="34"/>
      <c r="W356" s="34"/>
      <c r="X356" s="34"/>
      <c r="Y356" s="34"/>
      <c r="Z356" s="34"/>
      <c r="AA356" s="34"/>
    </row>
    <row r="357" spans="1:27" ht="15">
      <c r="A357" s="65" t="s">
        <v>231</v>
      </c>
      <c r="B357" s="65" t="s">
        <v>450</v>
      </c>
      <c r="C357" s="66" t="s">
        <v>2751</v>
      </c>
      <c r="D357" s="67">
        <v>3</v>
      </c>
      <c r="E357" s="68"/>
      <c r="F357" s="69">
        <v>50</v>
      </c>
      <c r="G357" s="66"/>
      <c r="H357" s="70"/>
      <c r="I357" s="71"/>
      <c r="J357" s="71"/>
      <c r="K357" s="34" t="s">
        <v>65</v>
      </c>
      <c r="L357" s="78">
        <v>357</v>
      </c>
      <c r="M357" s="78"/>
      <c r="N357" s="73"/>
      <c r="O357" s="89" t="s">
        <v>494</v>
      </c>
      <c r="P357">
        <v>1</v>
      </c>
      <c r="Q357" s="88" t="str">
        <f>REPLACE(INDEX(GroupVertices[Group],MATCH(Edges[[#This Row],[Vertex 1]],GroupVertices[Vertex],0)),1,1,"")</f>
        <v>8</v>
      </c>
      <c r="R357" s="88" t="str">
        <f>REPLACE(INDEX(GroupVertices[Group],MATCH(Edges[[#This Row],[Vertex 2]],GroupVertices[Vertex],0)),1,1,"")</f>
        <v>8</v>
      </c>
      <c r="S357" s="34"/>
      <c r="T357" s="34"/>
      <c r="U357" s="34"/>
      <c r="V357" s="34"/>
      <c r="W357" s="34"/>
      <c r="X357" s="34"/>
      <c r="Y357" s="34"/>
      <c r="Z357" s="34"/>
      <c r="AA357" s="34"/>
    </row>
    <row r="358" spans="1:27" ht="15">
      <c r="A358" s="65" t="s">
        <v>231</v>
      </c>
      <c r="B358" s="65" t="s">
        <v>451</v>
      </c>
      <c r="C358" s="66" t="s">
        <v>2751</v>
      </c>
      <c r="D358" s="67">
        <v>3</v>
      </c>
      <c r="E358" s="68"/>
      <c r="F358" s="69">
        <v>50</v>
      </c>
      <c r="G358" s="66"/>
      <c r="H358" s="70"/>
      <c r="I358" s="71"/>
      <c r="J358" s="71"/>
      <c r="K358" s="34" t="s">
        <v>65</v>
      </c>
      <c r="L358" s="78">
        <v>358</v>
      </c>
      <c r="M358" s="78"/>
      <c r="N358" s="73"/>
      <c r="O358" s="89" t="s">
        <v>494</v>
      </c>
      <c r="P358">
        <v>1</v>
      </c>
      <c r="Q358" s="88" t="str">
        <f>REPLACE(INDEX(GroupVertices[Group],MATCH(Edges[[#This Row],[Vertex 1]],GroupVertices[Vertex],0)),1,1,"")</f>
        <v>8</v>
      </c>
      <c r="R358" s="88" t="str">
        <f>REPLACE(INDEX(GroupVertices[Group],MATCH(Edges[[#This Row],[Vertex 2]],GroupVertices[Vertex],0)),1,1,"")</f>
        <v>8</v>
      </c>
      <c r="S358" s="34"/>
      <c r="T358" s="34"/>
      <c r="U358" s="34"/>
      <c r="V358" s="34"/>
      <c r="W358" s="34"/>
      <c r="X358" s="34"/>
      <c r="Y358" s="34"/>
      <c r="Z358" s="34"/>
      <c r="AA358" s="34"/>
    </row>
    <row r="359" spans="1:27" ht="15">
      <c r="A359" s="65" t="s">
        <v>231</v>
      </c>
      <c r="B359" s="65" t="s">
        <v>452</v>
      </c>
      <c r="C359" s="66" t="s">
        <v>2751</v>
      </c>
      <c r="D359" s="67">
        <v>3</v>
      </c>
      <c r="E359" s="68"/>
      <c r="F359" s="69">
        <v>50</v>
      </c>
      <c r="G359" s="66"/>
      <c r="H359" s="70"/>
      <c r="I359" s="71"/>
      <c r="J359" s="71"/>
      <c r="K359" s="34" t="s">
        <v>65</v>
      </c>
      <c r="L359" s="78">
        <v>359</v>
      </c>
      <c r="M359" s="78"/>
      <c r="N359" s="73"/>
      <c r="O359" s="89" t="s">
        <v>494</v>
      </c>
      <c r="P359">
        <v>1</v>
      </c>
      <c r="Q359" s="88" t="str">
        <f>REPLACE(INDEX(GroupVertices[Group],MATCH(Edges[[#This Row],[Vertex 1]],GroupVertices[Vertex],0)),1,1,"")</f>
        <v>8</v>
      </c>
      <c r="R359" s="88" t="str">
        <f>REPLACE(INDEX(GroupVertices[Group],MATCH(Edges[[#This Row],[Vertex 2]],GroupVertices[Vertex],0)),1,1,"")</f>
        <v>8</v>
      </c>
      <c r="S359" s="34"/>
      <c r="T359" s="34"/>
      <c r="U359" s="34"/>
      <c r="V359" s="34"/>
      <c r="W359" s="34"/>
      <c r="X359" s="34"/>
      <c r="Y359" s="34"/>
      <c r="Z359" s="34"/>
      <c r="AA359" s="34"/>
    </row>
    <row r="360" spans="1:27" ht="15">
      <c r="A360" s="65" t="s">
        <v>231</v>
      </c>
      <c r="B360" s="65" t="s">
        <v>335</v>
      </c>
      <c r="C360" s="66" t="s">
        <v>2751</v>
      </c>
      <c r="D360" s="67">
        <v>3</v>
      </c>
      <c r="E360" s="68"/>
      <c r="F360" s="69">
        <v>50</v>
      </c>
      <c r="G360" s="66"/>
      <c r="H360" s="70"/>
      <c r="I360" s="71"/>
      <c r="J360" s="71"/>
      <c r="K360" s="34" t="s">
        <v>65</v>
      </c>
      <c r="L360" s="78">
        <v>360</v>
      </c>
      <c r="M360" s="78"/>
      <c r="N360" s="73"/>
      <c r="O360" s="89" t="s">
        <v>494</v>
      </c>
      <c r="P360">
        <v>1</v>
      </c>
      <c r="Q360" s="88" t="str">
        <f>REPLACE(INDEX(GroupVertices[Group],MATCH(Edges[[#This Row],[Vertex 1]],GroupVertices[Vertex],0)),1,1,"")</f>
        <v>8</v>
      </c>
      <c r="R360" s="88" t="str">
        <f>REPLACE(INDEX(GroupVertices[Group],MATCH(Edges[[#This Row],[Vertex 2]],GroupVertices[Vertex],0)),1,1,"")</f>
        <v>8</v>
      </c>
      <c r="S360" s="34"/>
      <c r="T360" s="34"/>
      <c r="U360" s="34"/>
      <c r="V360" s="34"/>
      <c r="W360" s="34"/>
      <c r="X360" s="34"/>
      <c r="Y360" s="34"/>
      <c r="Z360" s="34"/>
      <c r="AA360" s="34"/>
    </row>
    <row r="361" spans="1:27" ht="15">
      <c r="A361" s="65" t="s">
        <v>231</v>
      </c>
      <c r="B361" s="65" t="s">
        <v>453</v>
      </c>
      <c r="C361" s="66" t="s">
        <v>2751</v>
      </c>
      <c r="D361" s="67">
        <v>3</v>
      </c>
      <c r="E361" s="68"/>
      <c r="F361" s="69">
        <v>50</v>
      </c>
      <c r="G361" s="66"/>
      <c r="H361" s="70"/>
      <c r="I361" s="71"/>
      <c r="J361" s="71"/>
      <c r="K361" s="34" t="s">
        <v>65</v>
      </c>
      <c r="L361" s="78">
        <v>361</v>
      </c>
      <c r="M361" s="78"/>
      <c r="N361" s="73"/>
      <c r="O361" s="89" t="s">
        <v>494</v>
      </c>
      <c r="P361">
        <v>1</v>
      </c>
      <c r="Q361" s="88" t="str">
        <f>REPLACE(INDEX(GroupVertices[Group],MATCH(Edges[[#This Row],[Vertex 1]],GroupVertices[Vertex],0)),1,1,"")</f>
        <v>8</v>
      </c>
      <c r="R361" s="88" t="str">
        <f>REPLACE(INDEX(GroupVertices[Group],MATCH(Edges[[#This Row],[Vertex 2]],GroupVertices[Vertex],0)),1,1,"")</f>
        <v>8</v>
      </c>
      <c r="S361" s="34"/>
      <c r="T361" s="34"/>
      <c r="U361" s="34"/>
      <c r="V361" s="34"/>
      <c r="W361" s="34"/>
      <c r="X361" s="34"/>
      <c r="Y361" s="34"/>
      <c r="Z361" s="34"/>
      <c r="AA361" s="34"/>
    </row>
    <row r="362" spans="1:27" ht="15">
      <c r="A362" s="65" t="s">
        <v>231</v>
      </c>
      <c r="B362" s="65" t="s">
        <v>454</v>
      </c>
      <c r="C362" s="66" t="s">
        <v>2751</v>
      </c>
      <c r="D362" s="67">
        <v>3</v>
      </c>
      <c r="E362" s="68"/>
      <c r="F362" s="69">
        <v>50</v>
      </c>
      <c r="G362" s="66"/>
      <c r="H362" s="70"/>
      <c r="I362" s="71"/>
      <c r="J362" s="71"/>
      <c r="K362" s="34" t="s">
        <v>65</v>
      </c>
      <c r="L362" s="78">
        <v>362</v>
      </c>
      <c r="M362" s="78"/>
      <c r="N362" s="73"/>
      <c r="O362" s="89" t="s">
        <v>494</v>
      </c>
      <c r="P362">
        <v>1</v>
      </c>
      <c r="Q362" s="88" t="str">
        <f>REPLACE(INDEX(GroupVertices[Group],MATCH(Edges[[#This Row],[Vertex 1]],GroupVertices[Vertex],0)),1,1,"")</f>
        <v>8</v>
      </c>
      <c r="R362" s="88" t="str">
        <f>REPLACE(INDEX(GroupVertices[Group],MATCH(Edges[[#This Row],[Vertex 2]],GroupVertices[Vertex],0)),1,1,"")</f>
        <v>8</v>
      </c>
      <c r="S362" s="34"/>
      <c r="T362" s="34"/>
      <c r="U362" s="34"/>
      <c r="V362" s="34"/>
      <c r="W362" s="34"/>
      <c r="X362" s="34"/>
      <c r="Y362" s="34"/>
      <c r="Z362" s="34"/>
      <c r="AA362" s="34"/>
    </row>
    <row r="363" spans="1:27" ht="15">
      <c r="A363" s="65" t="s">
        <v>232</v>
      </c>
      <c r="B363" s="65" t="s">
        <v>455</v>
      </c>
      <c r="C363" s="66" t="s">
        <v>2751</v>
      </c>
      <c r="D363" s="67">
        <v>3</v>
      </c>
      <c r="E363" s="68"/>
      <c r="F363" s="69">
        <v>50</v>
      </c>
      <c r="G363" s="66"/>
      <c r="H363" s="70"/>
      <c r="I363" s="71"/>
      <c r="J363" s="71"/>
      <c r="K363" s="34" t="s">
        <v>65</v>
      </c>
      <c r="L363" s="78">
        <v>363</v>
      </c>
      <c r="M363" s="78"/>
      <c r="N363" s="73"/>
      <c r="O363" s="89" t="s">
        <v>494</v>
      </c>
      <c r="P363">
        <v>1</v>
      </c>
      <c r="Q363" s="88" t="str">
        <f>REPLACE(INDEX(GroupVertices[Group],MATCH(Edges[[#This Row],[Vertex 1]],GroupVertices[Vertex],0)),1,1,"")</f>
        <v>7</v>
      </c>
      <c r="R363" s="88" t="str">
        <f>REPLACE(INDEX(GroupVertices[Group],MATCH(Edges[[#This Row],[Vertex 2]],GroupVertices[Vertex],0)),1,1,"")</f>
        <v>7</v>
      </c>
      <c r="S363" s="34"/>
      <c r="T363" s="34"/>
      <c r="U363" s="34"/>
      <c r="V363" s="34"/>
      <c r="W363" s="34"/>
      <c r="X363" s="34"/>
      <c r="Y363" s="34"/>
      <c r="Z363" s="34"/>
      <c r="AA363" s="34"/>
    </row>
    <row r="364" spans="1:27" ht="15">
      <c r="A364" s="65" t="s">
        <v>232</v>
      </c>
      <c r="B364" s="65" t="s">
        <v>456</v>
      </c>
      <c r="C364" s="66" t="s">
        <v>2751</v>
      </c>
      <c r="D364" s="67">
        <v>3</v>
      </c>
      <c r="E364" s="68"/>
      <c r="F364" s="69">
        <v>50</v>
      </c>
      <c r="G364" s="66"/>
      <c r="H364" s="70"/>
      <c r="I364" s="71"/>
      <c r="J364" s="71"/>
      <c r="K364" s="34" t="s">
        <v>65</v>
      </c>
      <c r="L364" s="78">
        <v>364</v>
      </c>
      <c r="M364" s="78"/>
      <c r="N364" s="73"/>
      <c r="O364" s="89" t="s">
        <v>494</v>
      </c>
      <c r="P364">
        <v>1</v>
      </c>
      <c r="Q364" s="88" t="str">
        <f>REPLACE(INDEX(GroupVertices[Group],MATCH(Edges[[#This Row],[Vertex 1]],GroupVertices[Vertex],0)),1,1,"")</f>
        <v>7</v>
      </c>
      <c r="R364" s="88" t="str">
        <f>REPLACE(INDEX(GroupVertices[Group],MATCH(Edges[[#This Row],[Vertex 2]],GroupVertices[Vertex],0)),1,1,"")</f>
        <v>7</v>
      </c>
      <c r="S364" s="34"/>
      <c r="T364" s="34"/>
      <c r="U364" s="34"/>
      <c r="V364" s="34"/>
      <c r="W364" s="34"/>
      <c r="X364" s="34"/>
      <c r="Y364" s="34"/>
      <c r="Z364" s="34"/>
      <c r="AA364" s="34"/>
    </row>
    <row r="365" spans="1:27" ht="15">
      <c r="A365" s="65" t="s">
        <v>232</v>
      </c>
      <c r="B365" s="65" t="s">
        <v>457</v>
      </c>
      <c r="C365" s="66" t="s">
        <v>2751</v>
      </c>
      <c r="D365" s="67">
        <v>3</v>
      </c>
      <c r="E365" s="68"/>
      <c r="F365" s="69">
        <v>50</v>
      </c>
      <c r="G365" s="66"/>
      <c r="H365" s="70"/>
      <c r="I365" s="71"/>
      <c r="J365" s="71"/>
      <c r="K365" s="34" t="s">
        <v>65</v>
      </c>
      <c r="L365" s="78">
        <v>365</v>
      </c>
      <c r="M365" s="78"/>
      <c r="N365" s="73"/>
      <c r="O365" s="89" t="s">
        <v>494</v>
      </c>
      <c r="P365">
        <v>1</v>
      </c>
      <c r="Q365" s="88" t="str">
        <f>REPLACE(INDEX(GroupVertices[Group],MATCH(Edges[[#This Row],[Vertex 1]],GroupVertices[Vertex],0)),1,1,"")</f>
        <v>7</v>
      </c>
      <c r="R365" s="88" t="str">
        <f>REPLACE(INDEX(GroupVertices[Group],MATCH(Edges[[#This Row],[Vertex 2]],GroupVertices[Vertex],0)),1,1,"")</f>
        <v>7</v>
      </c>
      <c r="S365" s="34"/>
      <c r="T365" s="34"/>
      <c r="U365" s="34"/>
      <c r="V365" s="34"/>
      <c r="W365" s="34"/>
      <c r="X365" s="34"/>
      <c r="Y365" s="34"/>
      <c r="Z365" s="34"/>
      <c r="AA365" s="34"/>
    </row>
    <row r="366" spans="1:27" ht="15">
      <c r="A366" s="65" t="s">
        <v>232</v>
      </c>
      <c r="B366" s="65" t="s">
        <v>458</v>
      </c>
      <c r="C366" s="66" t="s">
        <v>2751</v>
      </c>
      <c r="D366" s="67">
        <v>3</v>
      </c>
      <c r="E366" s="68"/>
      <c r="F366" s="69">
        <v>50</v>
      </c>
      <c r="G366" s="66"/>
      <c r="H366" s="70"/>
      <c r="I366" s="71"/>
      <c r="J366" s="71"/>
      <c r="K366" s="34" t="s">
        <v>65</v>
      </c>
      <c r="L366" s="78">
        <v>366</v>
      </c>
      <c r="M366" s="78"/>
      <c r="N366" s="73"/>
      <c r="O366" s="89" t="s">
        <v>494</v>
      </c>
      <c r="P366">
        <v>1</v>
      </c>
      <c r="Q366" s="88" t="str">
        <f>REPLACE(INDEX(GroupVertices[Group],MATCH(Edges[[#This Row],[Vertex 1]],GroupVertices[Vertex],0)),1,1,"")</f>
        <v>7</v>
      </c>
      <c r="R366" s="88" t="str">
        <f>REPLACE(INDEX(GroupVertices[Group],MATCH(Edges[[#This Row],[Vertex 2]],GroupVertices[Vertex],0)),1,1,"")</f>
        <v>7</v>
      </c>
      <c r="S366" s="34"/>
      <c r="T366" s="34"/>
      <c r="U366" s="34"/>
      <c r="V366" s="34"/>
      <c r="W366" s="34"/>
      <c r="X366" s="34"/>
      <c r="Y366" s="34"/>
      <c r="Z366" s="34"/>
      <c r="AA366" s="34"/>
    </row>
    <row r="367" spans="1:27" ht="15">
      <c r="A367" s="65" t="s">
        <v>232</v>
      </c>
      <c r="B367" s="65" t="s">
        <v>459</v>
      </c>
      <c r="C367" s="66" t="s">
        <v>2751</v>
      </c>
      <c r="D367" s="67">
        <v>3</v>
      </c>
      <c r="E367" s="68"/>
      <c r="F367" s="69">
        <v>50</v>
      </c>
      <c r="G367" s="66"/>
      <c r="H367" s="70"/>
      <c r="I367" s="71"/>
      <c r="J367" s="71"/>
      <c r="K367" s="34" t="s">
        <v>65</v>
      </c>
      <c r="L367" s="78">
        <v>367</v>
      </c>
      <c r="M367" s="78"/>
      <c r="N367" s="73"/>
      <c r="O367" s="89" t="s">
        <v>494</v>
      </c>
      <c r="P367">
        <v>1</v>
      </c>
      <c r="Q367" s="88" t="str">
        <f>REPLACE(INDEX(GroupVertices[Group],MATCH(Edges[[#This Row],[Vertex 1]],GroupVertices[Vertex],0)),1,1,"")</f>
        <v>7</v>
      </c>
      <c r="R367" s="88" t="str">
        <f>REPLACE(INDEX(GroupVertices[Group],MATCH(Edges[[#This Row],[Vertex 2]],GroupVertices[Vertex],0)),1,1,"")</f>
        <v>7</v>
      </c>
      <c r="S367" s="34"/>
      <c r="T367" s="34"/>
      <c r="U367" s="34"/>
      <c r="V367" s="34"/>
      <c r="W367" s="34"/>
      <c r="X367" s="34"/>
      <c r="Y367" s="34"/>
      <c r="Z367" s="34"/>
      <c r="AA367" s="34"/>
    </row>
    <row r="368" spans="1:27" ht="15">
      <c r="A368" s="65" t="s">
        <v>232</v>
      </c>
      <c r="B368" s="65" t="s">
        <v>460</v>
      </c>
      <c r="C368" s="66" t="s">
        <v>2751</v>
      </c>
      <c r="D368" s="67">
        <v>3</v>
      </c>
      <c r="E368" s="68"/>
      <c r="F368" s="69">
        <v>50</v>
      </c>
      <c r="G368" s="66"/>
      <c r="H368" s="70"/>
      <c r="I368" s="71"/>
      <c r="J368" s="71"/>
      <c r="K368" s="34" t="s">
        <v>65</v>
      </c>
      <c r="L368" s="78">
        <v>368</v>
      </c>
      <c r="M368" s="78"/>
      <c r="N368" s="73"/>
      <c r="O368" s="89" t="s">
        <v>494</v>
      </c>
      <c r="P368">
        <v>1</v>
      </c>
      <c r="Q368" s="88" t="str">
        <f>REPLACE(INDEX(GroupVertices[Group],MATCH(Edges[[#This Row],[Vertex 1]],GroupVertices[Vertex],0)),1,1,"")</f>
        <v>7</v>
      </c>
      <c r="R368" s="88" t="str">
        <f>REPLACE(INDEX(GroupVertices[Group],MATCH(Edges[[#This Row],[Vertex 2]],GroupVertices[Vertex],0)),1,1,"")</f>
        <v>7</v>
      </c>
      <c r="S368" s="34"/>
      <c r="T368" s="34"/>
      <c r="U368" s="34"/>
      <c r="V368" s="34"/>
      <c r="W368" s="34"/>
      <c r="X368" s="34"/>
      <c r="Y368" s="34"/>
      <c r="Z368" s="34"/>
      <c r="AA368" s="34"/>
    </row>
    <row r="369" spans="1:27" ht="15">
      <c r="A369" s="65" t="s">
        <v>232</v>
      </c>
      <c r="B369" s="65" t="s">
        <v>461</v>
      </c>
      <c r="C369" s="66" t="s">
        <v>2751</v>
      </c>
      <c r="D369" s="67">
        <v>3</v>
      </c>
      <c r="E369" s="68"/>
      <c r="F369" s="69">
        <v>50</v>
      </c>
      <c r="G369" s="66"/>
      <c r="H369" s="70"/>
      <c r="I369" s="71"/>
      <c r="J369" s="71"/>
      <c r="K369" s="34" t="s">
        <v>65</v>
      </c>
      <c r="L369" s="78">
        <v>369</v>
      </c>
      <c r="M369" s="78"/>
      <c r="N369" s="73"/>
      <c r="O369" s="89" t="s">
        <v>494</v>
      </c>
      <c r="P369">
        <v>1</v>
      </c>
      <c r="Q369" s="88" t="str">
        <f>REPLACE(INDEX(GroupVertices[Group],MATCH(Edges[[#This Row],[Vertex 1]],GroupVertices[Vertex],0)),1,1,"")</f>
        <v>7</v>
      </c>
      <c r="R369" s="88" t="str">
        <f>REPLACE(INDEX(GroupVertices[Group],MATCH(Edges[[#This Row],[Vertex 2]],GroupVertices[Vertex],0)),1,1,"")</f>
        <v>7</v>
      </c>
      <c r="S369" s="34"/>
      <c r="T369" s="34"/>
      <c r="U369" s="34"/>
      <c r="V369" s="34"/>
      <c r="W369" s="34"/>
      <c r="X369" s="34"/>
      <c r="Y369" s="34"/>
      <c r="Z369" s="34"/>
      <c r="AA369" s="34"/>
    </row>
    <row r="370" spans="1:27" ht="15">
      <c r="A370" s="65" t="s">
        <v>232</v>
      </c>
      <c r="B370" s="65" t="s">
        <v>462</v>
      </c>
      <c r="C370" s="66" t="s">
        <v>2751</v>
      </c>
      <c r="D370" s="67">
        <v>3</v>
      </c>
      <c r="E370" s="68"/>
      <c r="F370" s="69">
        <v>50</v>
      </c>
      <c r="G370" s="66"/>
      <c r="H370" s="70"/>
      <c r="I370" s="71"/>
      <c r="J370" s="71"/>
      <c r="K370" s="34" t="s">
        <v>65</v>
      </c>
      <c r="L370" s="78">
        <v>370</v>
      </c>
      <c r="M370" s="78"/>
      <c r="N370" s="73"/>
      <c r="O370" s="89" t="s">
        <v>494</v>
      </c>
      <c r="P370">
        <v>1</v>
      </c>
      <c r="Q370" s="88" t="str">
        <f>REPLACE(INDEX(GroupVertices[Group],MATCH(Edges[[#This Row],[Vertex 1]],GroupVertices[Vertex],0)),1,1,"")</f>
        <v>7</v>
      </c>
      <c r="R370" s="88" t="str">
        <f>REPLACE(INDEX(GroupVertices[Group],MATCH(Edges[[#This Row],[Vertex 2]],GroupVertices[Vertex],0)),1,1,"")</f>
        <v>7</v>
      </c>
      <c r="S370" s="34"/>
      <c r="T370" s="34"/>
      <c r="U370" s="34"/>
      <c r="V370" s="34"/>
      <c r="W370" s="34"/>
      <c r="X370" s="34"/>
      <c r="Y370" s="34"/>
      <c r="Z370" s="34"/>
      <c r="AA370" s="34"/>
    </row>
    <row r="371" spans="1:27" ht="15">
      <c r="A371" s="65" t="s">
        <v>232</v>
      </c>
      <c r="B371" s="65" t="s">
        <v>463</v>
      </c>
      <c r="C371" s="66" t="s">
        <v>2751</v>
      </c>
      <c r="D371" s="67">
        <v>3</v>
      </c>
      <c r="E371" s="68"/>
      <c r="F371" s="69">
        <v>50</v>
      </c>
      <c r="G371" s="66"/>
      <c r="H371" s="70"/>
      <c r="I371" s="71"/>
      <c r="J371" s="71"/>
      <c r="K371" s="34" t="s">
        <v>65</v>
      </c>
      <c r="L371" s="78">
        <v>371</v>
      </c>
      <c r="M371" s="78"/>
      <c r="N371" s="73"/>
      <c r="O371" s="89" t="s">
        <v>494</v>
      </c>
      <c r="P371">
        <v>1</v>
      </c>
      <c r="Q371" s="88" t="str">
        <f>REPLACE(INDEX(GroupVertices[Group],MATCH(Edges[[#This Row],[Vertex 1]],GroupVertices[Vertex],0)),1,1,"")</f>
        <v>7</v>
      </c>
      <c r="R371" s="88" t="str">
        <f>REPLACE(INDEX(GroupVertices[Group],MATCH(Edges[[#This Row],[Vertex 2]],GroupVertices[Vertex],0)),1,1,"")</f>
        <v>7</v>
      </c>
      <c r="S371" s="34"/>
      <c r="T371" s="34"/>
      <c r="U371" s="34"/>
      <c r="V371" s="34"/>
      <c r="W371" s="34"/>
      <c r="X371" s="34"/>
      <c r="Y371" s="34"/>
      <c r="Z371" s="34"/>
      <c r="AA371" s="34"/>
    </row>
    <row r="372" spans="1:27" ht="15">
      <c r="A372" s="65" t="s">
        <v>232</v>
      </c>
      <c r="B372" s="65" t="s">
        <v>464</v>
      </c>
      <c r="C372" s="66" t="s">
        <v>2751</v>
      </c>
      <c r="D372" s="67">
        <v>3</v>
      </c>
      <c r="E372" s="68"/>
      <c r="F372" s="69">
        <v>50</v>
      </c>
      <c r="G372" s="66"/>
      <c r="H372" s="70"/>
      <c r="I372" s="71"/>
      <c r="J372" s="71"/>
      <c r="K372" s="34" t="s">
        <v>65</v>
      </c>
      <c r="L372" s="78">
        <v>372</v>
      </c>
      <c r="M372" s="78"/>
      <c r="N372" s="73"/>
      <c r="O372" s="89" t="s">
        <v>494</v>
      </c>
      <c r="P372">
        <v>1</v>
      </c>
      <c r="Q372" s="88" t="str">
        <f>REPLACE(INDEX(GroupVertices[Group],MATCH(Edges[[#This Row],[Vertex 1]],GroupVertices[Vertex],0)),1,1,"")</f>
        <v>7</v>
      </c>
      <c r="R372" s="88" t="str">
        <f>REPLACE(INDEX(GroupVertices[Group],MATCH(Edges[[#This Row],[Vertex 2]],GroupVertices[Vertex],0)),1,1,"")</f>
        <v>7</v>
      </c>
      <c r="S372" s="34"/>
      <c r="T372" s="34"/>
      <c r="U372" s="34"/>
      <c r="V372" s="34"/>
      <c r="W372" s="34"/>
      <c r="X372" s="34"/>
      <c r="Y372" s="34"/>
      <c r="Z372" s="34"/>
      <c r="AA372" s="34"/>
    </row>
    <row r="373" spans="1:27" ht="15">
      <c r="A373" s="65" t="s">
        <v>232</v>
      </c>
      <c r="B373" s="65" t="s">
        <v>246</v>
      </c>
      <c r="C373" s="66" t="s">
        <v>2751</v>
      </c>
      <c r="D373" s="67">
        <v>3</v>
      </c>
      <c r="E373" s="68"/>
      <c r="F373" s="69">
        <v>50</v>
      </c>
      <c r="G373" s="66"/>
      <c r="H373" s="70"/>
      <c r="I373" s="71"/>
      <c r="J373" s="71"/>
      <c r="K373" s="34" t="s">
        <v>65</v>
      </c>
      <c r="L373" s="78">
        <v>373</v>
      </c>
      <c r="M373" s="78"/>
      <c r="N373" s="73"/>
      <c r="O373" s="89" t="s">
        <v>494</v>
      </c>
      <c r="P373">
        <v>1</v>
      </c>
      <c r="Q373" s="88" t="str">
        <f>REPLACE(INDEX(GroupVertices[Group],MATCH(Edges[[#This Row],[Vertex 1]],GroupVertices[Vertex],0)),1,1,"")</f>
        <v>7</v>
      </c>
      <c r="R373" s="88" t="str">
        <f>REPLACE(INDEX(GroupVertices[Group],MATCH(Edges[[#This Row],[Vertex 2]],GroupVertices[Vertex],0)),1,1,"")</f>
        <v>7</v>
      </c>
      <c r="S373" s="34"/>
      <c r="T373" s="34"/>
      <c r="U373" s="34"/>
      <c r="V373" s="34"/>
      <c r="W373" s="34"/>
      <c r="X373" s="34"/>
      <c r="Y373" s="34"/>
      <c r="Z373" s="34"/>
      <c r="AA373" s="34"/>
    </row>
    <row r="374" spans="1:27" ht="15">
      <c r="A374" s="65" t="s">
        <v>232</v>
      </c>
      <c r="B374" s="65" t="s">
        <v>465</v>
      </c>
      <c r="C374" s="66" t="s">
        <v>2751</v>
      </c>
      <c r="D374" s="67">
        <v>3</v>
      </c>
      <c r="E374" s="68"/>
      <c r="F374" s="69">
        <v>50</v>
      </c>
      <c r="G374" s="66"/>
      <c r="H374" s="70"/>
      <c r="I374" s="71"/>
      <c r="J374" s="71"/>
      <c r="K374" s="34" t="s">
        <v>65</v>
      </c>
      <c r="L374" s="78">
        <v>374</v>
      </c>
      <c r="M374" s="78"/>
      <c r="N374" s="73"/>
      <c r="O374" s="89" t="s">
        <v>494</v>
      </c>
      <c r="P374">
        <v>1</v>
      </c>
      <c r="Q374" s="88" t="str">
        <f>REPLACE(INDEX(GroupVertices[Group],MATCH(Edges[[#This Row],[Vertex 1]],GroupVertices[Vertex],0)),1,1,"")</f>
        <v>7</v>
      </c>
      <c r="R374" s="88" t="str">
        <f>REPLACE(INDEX(GroupVertices[Group],MATCH(Edges[[#This Row],[Vertex 2]],GroupVertices[Vertex],0)),1,1,"")</f>
        <v>7</v>
      </c>
      <c r="S374" s="34"/>
      <c r="T374" s="34"/>
      <c r="U374" s="34"/>
      <c r="V374" s="34"/>
      <c r="W374" s="34"/>
      <c r="X374" s="34"/>
      <c r="Y374" s="34"/>
      <c r="Z374" s="34"/>
      <c r="AA374" s="34"/>
    </row>
    <row r="375" spans="1:27" ht="15">
      <c r="A375" s="65" t="s">
        <v>232</v>
      </c>
      <c r="B375" s="65" t="s">
        <v>466</v>
      </c>
      <c r="C375" s="66" t="s">
        <v>2751</v>
      </c>
      <c r="D375" s="67">
        <v>3</v>
      </c>
      <c r="E375" s="68"/>
      <c r="F375" s="69">
        <v>50</v>
      </c>
      <c r="G375" s="66"/>
      <c r="H375" s="70"/>
      <c r="I375" s="71"/>
      <c r="J375" s="71"/>
      <c r="K375" s="34" t="s">
        <v>65</v>
      </c>
      <c r="L375" s="78">
        <v>375</v>
      </c>
      <c r="M375" s="78"/>
      <c r="N375" s="73"/>
      <c r="O375" s="89" t="s">
        <v>494</v>
      </c>
      <c r="P375">
        <v>1</v>
      </c>
      <c r="Q375" s="88" t="str">
        <f>REPLACE(INDEX(GroupVertices[Group],MATCH(Edges[[#This Row],[Vertex 1]],GroupVertices[Vertex],0)),1,1,"")</f>
        <v>7</v>
      </c>
      <c r="R375" s="88" t="str">
        <f>REPLACE(INDEX(GroupVertices[Group],MATCH(Edges[[#This Row],[Vertex 2]],GroupVertices[Vertex],0)),1,1,"")</f>
        <v>7</v>
      </c>
      <c r="S375" s="34"/>
      <c r="T375" s="34"/>
      <c r="U375" s="34"/>
      <c r="V375" s="34"/>
      <c r="W375" s="34"/>
      <c r="X375" s="34"/>
      <c r="Y375" s="34"/>
      <c r="Z375" s="34"/>
      <c r="AA375" s="34"/>
    </row>
    <row r="376" spans="1:27" ht="15">
      <c r="A376" s="65" t="s">
        <v>232</v>
      </c>
      <c r="B376" s="65" t="s">
        <v>467</v>
      </c>
      <c r="C376" s="66" t="s">
        <v>2751</v>
      </c>
      <c r="D376" s="67">
        <v>3</v>
      </c>
      <c r="E376" s="68"/>
      <c r="F376" s="69">
        <v>50</v>
      </c>
      <c r="G376" s="66"/>
      <c r="H376" s="70"/>
      <c r="I376" s="71"/>
      <c r="J376" s="71"/>
      <c r="K376" s="34" t="s">
        <v>65</v>
      </c>
      <c r="L376" s="78">
        <v>376</v>
      </c>
      <c r="M376" s="78"/>
      <c r="N376" s="73"/>
      <c r="O376" s="89" t="s">
        <v>494</v>
      </c>
      <c r="P376">
        <v>1</v>
      </c>
      <c r="Q376" s="88" t="str">
        <f>REPLACE(INDEX(GroupVertices[Group],MATCH(Edges[[#This Row],[Vertex 1]],GroupVertices[Vertex],0)),1,1,"")</f>
        <v>7</v>
      </c>
      <c r="R376" s="88" t="str">
        <f>REPLACE(INDEX(GroupVertices[Group],MATCH(Edges[[#This Row],[Vertex 2]],GroupVertices[Vertex],0)),1,1,"")</f>
        <v>7</v>
      </c>
      <c r="S376" s="34"/>
      <c r="T376" s="34"/>
      <c r="U376" s="34"/>
      <c r="V376" s="34"/>
      <c r="W376" s="34"/>
      <c r="X376" s="34"/>
      <c r="Y376" s="34"/>
      <c r="Z376" s="34"/>
      <c r="AA376" s="34"/>
    </row>
    <row r="377" spans="1:27" ht="15">
      <c r="A377" s="65" t="s">
        <v>232</v>
      </c>
      <c r="B377" s="65" t="s">
        <v>468</v>
      </c>
      <c r="C377" s="66" t="s">
        <v>2751</v>
      </c>
      <c r="D377" s="67">
        <v>3</v>
      </c>
      <c r="E377" s="68"/>
      <c r="F377" s="69">
        <v>50</v>
      </c>
      <c r="G377" s="66"/>
      <c r="H377" s="70"/>
      <c r="I377" s="71"/>
      <c r="J377" s="71"/>
      <c r="K377" s="34" t="s">
        <v>65</v>
      </c>
      <c r="L377" s="78">
        <v>377</v>
      </c>
      <c r="M377" s="78"/>
      <c r="N377" s="73"/>
      <c r="O377" s="89" t="s">
        <v>494</v>
      </c>
      <c r="P377">
        <v>1</v>
      </c>
      <c r="Q377" s="88" t="str">
        <f>REPLACE(INDEX(GroupVertices[Group],MATCH(Edges[[#This Row],[Vertex 1]],GroupVertices[Vertex],0)),1,1,"")</f>
        <v>7</v>
      </c>
      <c r="R377" s="88" t="str">
        <f>REPLACE(INDEX(GroupVertices[Group],MATCH(Edges[[#This Row],[Vertex 2]],GroupVertices[Vertex],0)),1,1,"")</f>
        <v>7</v>
      </c>
      <c r="S377" s="34"/>
      <c r="T377" s="34"/>
      <c r="U377" s="34"/>
      <c r="V377" s="34"/>
      <c r="W377" s="34"/>
      <c r="X377" s="34"/>
      <c r="Y377" s="34"/>
      <c r="Z377" s="34"/>
      <c r="AA377" s="34"/>
    </row>
    <row r="378" spans="1:27" ht="15">
      <c r="A378" s="65" t="s">
        <v>232</v>
      </c>
      <c r="B378" s="65" t="s">
        <v>469</v>
      </c>
      <c r="C378" s="66" t="s">
        <v>2751</v>
      </c>
      <c r="D378" s="67">
        <v>3</v>
      </c>
      <c r="E378" s="68"/>
      <c r="F378" s="69">
        <v>50</v>
      </c>
      <c r="G378" s="66"/>
      <c r="H378" s="70"/>
      <c r="I378" s="71"/>
      <c r="J378" s="71"/>
      <c r="K378" s="34" t="s">
        <v>65</v>
      </c>
      <c r="L378" s="78">
        <v>378</v>
      </c>
      <c r="M378" s="78"/>
      <c r="N378" s="73"/>
      <c r="O378" s="89" t="s">
        <v>494</v>
      </c>
      <c r="P378">
        <v>1</v>
      </c>
      <c r="Q378" s="88" t="str">
        <f>REPLACE(INDEX(GroupVertices[Group],MATCH(Edges[[#This Row],[Vertex 1]],GroupVertices[Vertex],0)),1,1,"")</f>
        <v>7</v>
      </c>
      <c r="R378" s="88" t="str">
        <f>REPLACE(INDEX(GroupVertices[Group],MATCH(Edges[[#This Row],[Vertex 2]],GroupVertices[Vertex],0)),1,1,"")</f>
        <v>7</v>
      </c>
      <c r="S378" s="34"/>
      <c r="T378" s="34"/>
      <c r="U378" s="34"/>
      <c r="V378" s="34"/>
      <c r="W378" s="34"/>
      <c r="X378" s="34"/>
      <c r="Y378" s="34"/>
      <c r="Z378" s="34"/>
      <c r="AA378" s="34"/>
    </row>
    <row r="379" spans="1:27" ht="15">
      <c r="A379" s="65" t="s">
        <v>232</v>
      </c>
      <c r="B379" s="65" t="s">
        <v>470</v>
      </c>
      <c r="C379" s="66" t="s">
        <v>2751</v>
      </c>
      <c r="D379" s="67">
        <v>3</v>
      </c>
      <c r="E379" s="68"/>
      <c r="F379" s="69">
        <v>50</v>
      </c>
      <c r="G379" s="66"/>
      <c r="H379" s="70"/>
      <c r="I379" s="71"/>
      <c r="J379" s="71"/>
      <c r="K379" s="34" t="s">
        <v>65</v>
      </c>
      <c r="L379" s="78">
        <v>379</v>
      </c>
      <c r="M379" s="78"/>
      <c r="N379" s="73"/>
      <c r="O379" s="89" t="s">
        <v>494</v>
      </c>
      <c r="P379">
        <v>1</v>
      </c>
      <c r="Q379" s="88" t="str">
        <f>REPLACE(INDEX(GroupVertices[Group],MATCH(Edges[[#This Row],[Vertex 1]],GroupVertices[Vertex],0)),1,1,"")</f>
        <v>7</v>
      </c>
      <c r="R379" s="88" t="str">
        <f>REPLACE(INDEX(GroupVertices[Group],MATCH(Edges[[#This Row],[Vertex 2]],GroupVertices[Vertex],0)),1,1,"")</f>
        <v>7</v>
      </c>
      <c r="S379" s="34"/>
      <c r="T379" s="34"/>
      <c r="U379" s="34"/>
      <c r="V379" s="34"/>
      <c r="W379" s="34"/>
      <c r="X379" s="34"/>
      <c r="Y379" s="34"/>
      <c r="Z379" s="34"/>
      <c r="AA379" s="34"/>
    </row>
    <row r="380" spans="1:27" ht="15">
      <c r="A380" s="65" t="s">
        <v>232</v>
      </c>
      <c r="B380" s="65" t="s">
        <v>471</v>
      </c>
      <c r="C380" s="66" t="s">
        <v>2751</v>
      </c>
      <c r="D380" s="67">
        <v>3</v>
      </c>
      <c r="E380" s="68"/>
      <c r="F380" s="69">
        <v>50</v>
      </c>
      <c r="G380" s="66"/>
      <c r="H380" s="70"/>
      <c r="I380" s="71"/>
      <c r="J380" s="71"/>
      <c r="K380" s="34" t="s">
        <v>65</v>
      </c>
      <c r="L380" s="78">
        <v>380</v>
      </c>
      <c r="M380" s="78"/>
      <c r="N380" s="73"/>
      <c r="O380" s="89" t="s">
        <v>494</v>
      </c>
      <c r="P380">
        <v>1</v>
      </c>
      <c r="Q380" s="88" t="str">
        <f>REPLACE(INDEX(GroupVertices[Group],MATCH(Edges[[#This Row],[Vertex 1]],GroupVertices[Vertex],0)),1,1,"")</f>
        <v>7</v>
      </c>
      <c r="R380" s="88" t="str">
        <f>REPLACE(INDEX(GroupVertices[Group],MATCH(Edges[[#This Row],[Vertex 2]],GroupVertices[Vertex],0)),1,1,"")</f>
        <v>7</v>
      </c>
      <c r="S380" s="34"/>
      <c r="T380" s="34"/>
      <c r="U380" s="34"/>
      <c r="V380" s="34"/>
      <c r="W380" s="34"/>
      <c r="X380" s="34"/>
      <c r="Y380" s="34"/>
      <c r="Z380" s="34"/>
      <c r="AA380" s="34"/>
    </row>
    <row r="381" spans="1:27" ht="15">
      <c r="A381" s="65" t="s">
        <v>232</v>
      </c>
      <c r="B381" s="65" t="s">
        <v>472</v>
      </c>
      <c r="C381" s="66" t="s">
        <v>2751</v>
      </c>
      <c r="D381" s="67">
        <v>3</v>
      </c>
      <c r="E381" s="68"/>
      <c r="F381" s="69">
        <v>50</v>
      </c>
      <c r="G381" s="66"/>
      <c r="H381" s="70"/>
      <c r="I381" s="71"/>
      <c r="J381" s="71"/>
      <c r="K381" s="34" t="s">
        <v>65</v>
      </c>
      <c r="L381" s="78">
        <v>381</v>
      </c>
      <c r="M381" s="78"/>
      <c r="N381" s="73"/>
      <c r="O381" s="89" t="s">
        <v>494</v>
      </c>
      <c r="P381">
        <v>1</v>
      </c>
      <c r="Q381" s="88" t="str">
        <f>REPLACE(INDEX(GroupVertices[Group],MATCH(Edges[[#This Row],[Vertex 1]],GroupVertices[Vertex],0)),1,1,"")</f>
        <v>7</v>
      </c>
      <c r="R381" s="88" t="str">
        <f>REPLACE(INDEX(GroupVertices[Group],MATCH(Edges[[#This Row],[Vertex 2]],GroupVertices[Vertex],0)),1,1,"")</f>
        <v>7</v>
      </c>
      <c r="S381" s="34"/>
      <c r="T381" s="34"/>
      <c r="U381" s="34"/>
      <c r="V381" s="34"/>
      <c r="W381" s="34"/>
      <c r="X381" s="34"/>
      <c r="Y381" s="34"/>
      <c r="Z381" s="34"/>
      <c r="AA381" s="34"/>
    </row>
    <row r="382" spans="1:27" ht="15">
      <c r="A382" s="65" t="s">
        <v>232</v>
      </c>
      <c r="B382" s="65" t="s">
        <v>473</v>
      </c>
      <c r="C382" s="66" t="s">
        <v>2751</v>
      </c>
      <c r="D382" s="67">
        <v>3</v>
      </c>
      <c r="E382" s="68"/>
      <c r="F382" s="69">
        <v>50</v>
      </c>
      <c r="G382" s="66"/>
      <c r="H382" s="70"/>
      <c r="I382" s="71"/>
      <c r="J382" s="71"/>
      <c r="K382" s="34" t="s">
        <v>65</v>
      </c>
      <c r="L382" s="78">
        <v>382</v>
      </c>
      <c r="M382" s="78"/>
      <c r="N382" s="73"/>
      <c r="O382" s="89" t="s">
        <v>494</v>
      </c>
      <c r="P382">
        <v>1</v>
      </c>
      <c r="Q382" s="88" t="str">
        <f>REPLACE(INDEX(GroupVertices[Group],MATCH(Edges[[#This Row],[Vertex 1]],GroupVertices[Vertex],0)),1,1,"")</f>
        <v>7</v>
      </c>
      <c r="R382" s="88" t="str">
        <f>REPLACE(INDEX(GroupVertices[Group],MATCH(Edges[[#This Row],[Vertex 2]],GroupVertices[Vertex],0)),1,1,"")</f>
        <v>7</v>
      </c>
      <c r="S382" s="34"/>
      <c r="T382" s="34"/>
      <c r="U382" s="34"/>
      <c r="V382" s="34"/>
      <c r="W382" s="34"/>
      <c r="X382" s="34"/>
      <c r="Y382" s="34"/>
      <c r="Z382" s="34"/>
      <c r="AA382" s="34"/>
    </row>
    <row r="383" spans="1:27" ht="15">
      <c r="A383" s="65" t="s">
        <v>233</v>
      </c>
      <c r="B383" s="65" t="s">
        <v>474</v>
      </c>
      <c r="C383" s="66" t="s">
        <v>2751</v>
      </c>
      <c r="D383" s="67">
        <v>3</v>
      </c>
      <c r="E383" s="68"/>
      <c r="F383" s="69">
        <v>50</v>
      </c>
      <c r="G383" s="66"/>
      <c r="H383" s="70"/>
      <c r="I383" s="71"/>
      <c r="J383" s="71"/>
      <c r="K383" s="34" t="s">
        <v>65</v>
      </c>
      <c r="L383" s="78">
        <v>383</v>
      </c>
      <c r="M383" s="78"/>
      <c r="N383" s="73"/>
      <c r="O383" s="89" t="s">
        <v>494</v>
      </c>
      <c r="P383">
        <v>1</v>
      </c>
      <c r="Q383" s="88" t="str">
        <f>REPLACE(INDEX(GroupVertices[Group],MATCH(Edges[[#This Row],[Vertex 1]],GroupVertices[Vertex],0)),1,1,"")</f>
        <v>6</v>
      </c>
      <c r="R383" s="88" t="str">
        <f>REPLACE(INDEX(GroupVertices[Group],MATCH(Edges[[#This Row],[Vertex 2]],GroupVertices[Vertex],0)),1,1,"")</f>
        <v>6</v>
      </c>
      <c r="S383" s="34"/>
      <c r="T383" s="34"/>
      <c r="U383" s="34"/>
      <c r="V383" s="34"/>
      <c r="W383" s="34"/>
      <c r="X383" s="34"/>
      <c r="Y383" s="34"/>
      <c r="Z383" s="34"/>
      <c r="AA383" s="34"/>
    </row>
    <row r="384" spans="1:27" ht="15">
      <c r="A384" s="65" t="s">
        <v>233</v>
      </c>
      <c r="B384" s="65" t="s">
        <v>475</v>
      </c>
      <c r="C384" s="66" t="s">
        <v>2751</v>
      </c>
      <c r="D384" s="67">
        <v>3</v>
      </c>
      <c r="E384" s="68"/>
      <c r="F384" s="69">
        <v>50</v>
      </c>
      <c r="G384" s="66"/>
      <c r="H384" s="70"/>
      <c r="I384" s="71"/>
      <c r="J384" s="71"/>
      <c r="K384" s="34" t="s">
        <v>65</v>
      </c>
      <c r="L384" s="78">
        <v>384</v>
      </c>
      <c r="M384" s="78"/>
      <c r="N384" s="73"/>
      <c r="O384" s="89" t="s">
        <v>494</v>
      </c>
      <c r="P384">
        <v>1</v>
      </c>
      <c r="Q384" s="88" t="str">
        <f>REPLACE(INDEX(GroupVertices[Group],MATCH(Edges[[#This Row],[Vertex 1]],GroupVertices[Vertex],0)),1,1,"")</f>
        <v>6</v>
      </c>
      <c r="R384" s="88" t="str">
        <f>REPLACE(INDEX(GroupVertices[Group],MATCH(Edges[[#This Row],[Vertex 2]],GroupVertices[Vertex],0)),1,1,"")</f>
        <v>6</v>
      </c>
      <c r="S384" s="34"/>
      <c r="T384" s="34"/>
      <c r="U384" s="34"/>
      <c r="V384" s="34"/>
      <c r="W384" s="34"/>
      <c r="X384" s="34"/>
      <c r="Y384" s="34"/>
      <c r="Z384" s="34"/>
      <c r="AA384" s="34"/>
    </row>
    <row r="385" spans="1:27" ht="15">
      <c r="A385" s="65" t="s">
        <v>233</v>
      </c>
      <c r="B385" s="65" t="s">
        <v>476</v>
      </c>
      <c r="C385" s="66" t="s">
        <v>2751</v>
      </c>
      <c r="D385" s="67">
        <v>3</v>
      </c>
      <c r="E385" s="68"/>
      <c r="F385" s="69">
        <v>50</v>
      </c>
      <c r="G385" s="66"/>
      <c r="H385" s="70"/>
      <c r="I385" s="71"/>
      <c r="J385" s="71"/>
      <c r="K385" s="34" t="s">
        <v>65</v>
      </c>
      <c r="L385" s="78">
        <v>385</v>
      </c>
      <c r="M385" s="78"/>
      <c r="N385" s="73"/>
      <c r="O385" s="89" t="s">
        <v>494</v>
      </c>
      <c r="P385">
        <v>1</v>
      </c>
      <c r="Q385" s="88" t="str">
        <f>REPLACE(INDEX(GroupVertices[Group],MATCH(Edges[[#This Row],[Vertex 1]],GroupVertices[Vertex],0)),1,1,"")</f>
        <v>6</v>
      </c>
      <c r="R385" s="88" t="str">
        <f>REPLACE(INDEX(GroupVertices[Group],MATCH(Edges[[#This Row],[Vertex 2]],GroupVertices[Vertex],0)),1,1,"")</f>
        <v>6</v>
      </c>
      <c r="S385" s="34"/>
      <c r="T385" s="34"/>
      <c r="U385" s="34"/>
      <c r="V385" s="34"/>
      <c r="W385" s="34"/>
      <c r="X385" s="34"/>
      <c r="Y385" s="34"/>
      <c r="Z385" s="34"/>
      <c r="AA385" s="34"/>
    </row>
    <row r="386" spans="1:27" ht="15">
      <c r="A386" s="65" t="s">
        <v>233</v>
      </c>
      <c r="B386" s="65" t="s">
        <v>477</v>
      </c>
      <c r="C386" s="66" t="s">
        <v>2751</v>
      </c>
      <c r="D386" s="67">
        <v>3</v>
      </c>
      <c r="E386" s="68"/>
      <c r="F386" s="69">
        <v>50</v>
      </c>
      <c r="G386" s="66"/>
      <c r="H386" s="70"/>
      <c r="I386" s="71"/>
      <c r="J386" s="71"/>
      <c r="K386" s="34" t="s">
        <v>65</v>
      </c>
      <c r="L386" s="78">
        <v>386</v>
      </c>
      <c r="M386" s="78"/>
      <c r="N386" s="73"/>
      <c r="O386" s="89" t="s">
        <v>494</v>
      </c>
      <c r="P386">
        <v>1</v>
      </c>
      <c r="Q386" s="88" t="str">
        <f>REPLACE(INDEX(GroupVertices[Group],MATCH(Edges[[#This Row],[Vertex 1]],GroupVertices[Vertex],0)),1,1,"")</f>
        <v>6</v>
      </c>
      <c r="R386" s="88" t="str">
        <f>REPLACE(INDEX(GroupVertices[Group],MATCH(Edges[[#This Row],[Vertex 2]],GroupVertices[Vertex],0)),1,1,"")</f>
        <v>6</v>
      </c>
      <c r="S386" s="34"/>
      <c r="T386" s="34"/>
      <c r="U386" s="34"/>
      <c r="V386" s="34"/>
      <c r="W386" s="34"/>
      <c r="X386" s="34"/>
      <c r="Y386" s="34"/>
      <c r="Z386" s="34"/>
      <c r="AA386" s="34"/>
    </row>
    <row r="387" spans="1:27" ht="15">
      <c r="A387" s="65" t="s">
        <v>233</v>
      </c>
      <c r="B387" s="65" t="s">
        <v>478</v>
      </c>
      <c r="C387" s="66" t="s">
        <v>2751</v>
      </c>
      <c r="D387" s="67">
        <v>3</v>
      </c>
      <c r="E387" s="68"/>
      <c r="F387" s="69">
        <v>50</v>
      </c>
      <c r="G387" s="66"/>
      <c r="H387" s="70"/>
      <c r="I387" s="71"/>
      <c r="J387" s="71"/>
      <c r="K387" s="34" t="s">
        <v>65</v>
      </c>
      <c r="L387" s="78">
        <v>387</v>
      </c>
      <c r="M387" s="78"/>
      <c r="N387" s="73"/>
      <c r="O387" s="89" t="s">
        <v>494</v>
      </c>
      <c r="P387">
        <v>1</v>
      </c>
      <c r="Q387" s="88" t="str">
        <f>REPLACE(INDEX(GroupVertices[Group],MATCH(Edges[[#This Row],[Vertex 1]],GroupVertices[Vertex],0)),1,1,"")</f>
        <v>6</v>
      </c>
      <c r="R387" s="88" t="str">
        <f>REPLACE(INDEX(GroupVertices[Group],MATCH(Edges[[#This Row],[Vertex 2]],GroupVertices[Vertex],0)),1,1,"")</f>
        <v>6</v>
      </c>
      <c r="S387" s="34"/>
      <c r="T387" s="34"/>
      <c r="U387" s="34"/>
      <c r="V387" s="34"/>
      <c r="W387" s="34"/>
      <c r="X387" s="34"/>
      <c r="Y387" s="34"/>
      <c r="Z387" s="34"/>
      <c r="AA387" s="34"/>
    </row>
    <row r="388" spans="1:27" ht="15">
      <c r="A388" s="65" t="s">
        <v>233</v>
      </c>
      <c r="B388" s="65" t="s">
        <v>479</v>
      </c>
      <c r="C388" s="66" t="s">
        <v>2751</v>
      </c>
      <c r="D388" s="67">
        <v>3</v>
      </c>
      <c r="E388" s="68"/>
      <c r="F388" s="69">
        <v>50</v>
      </c>
      <c r="G388" s="66"/>
      <c r="H388" s="70"/>
      <c r="I388" s="71"/>
      <c r="J388" s="71"/>
      <c r="K388" s="34" t="s">
        <v>65</v>
      </c>
      <c r="L388" s="78">
        <v>388</v>
      </c>
      <c r="M388" s="78"/>
      <c r="N388" s="73"/>
      <c r="O388" s="89" t="s">
        <v>494</v>
      </c>
      <c r="P388">
        <v>1</v>
      </c>
      <c r="Q388" s="88" t="str">
        <f>REPLACE(INDEX(GroupVertices[Group],MATCH(Edges[[#This Row],[Vertex 1]],GroupVertices[Vertex],0)),1,1,"")</f>
        <v>6</v>
      </c>
      <c r="R388" s="88" t="str">
        <f>REPLACE(INDEX(GroupVertices[Group],MATCH(Edges[[#This Row],[Vertex 2]],GroupVertices[Vertex],0)),1,1,"")</f>
        <v>6</v>
      </c>
      <c r="S388" s="34"/>
      <c r="T388" s="34"/>
      <c r="U388" s="34"/>
      <c r="V388" s="34"/>
      <c r="W388" s="34"/>
      <c r="X388" s="34"/>
      <c r="Y388" s="34"/>
      <c r="Z388" s="34"/>
      <c r="AA388" s="34"/>
    </row>
    <row r="389" spans="1:27" ht="15">
      <c r="A389" s="65" t="s">
        <v>233</v>
      </c>
      <c r="B389" s="65" t="s">
        <v>480</v>
      </c>
      <c r="C389" s="66" t="s">
        <v>2751</v>
      </c>
      <c r="D389" s="67">
        <v>3</v>
      </c>
      <c r="E389" s="68"/>
      <c r="F389" s="69">
        <v>50</v>
      </c>
      <c r="G389" s="66"/>
      <c r="H389" s="70"/>
      <c r="I389" s="71"/>
      <c r="J389" s="71"/>
      <c r="K389" s="34" t="s">
        <v>65</v>
      </c>
      <c r="L389" s="78">
        <v>389</v>
      </c>
      <c r="M389" s="78"/>
      <c r="N389" s="73"/>
      <c r="O389" s="89" t="s">
        <v>494</v>
      </c>
      <c r="P389">
        <v>1</v>
      </c>
      <c r="Q389" s="88" t="str">
        <f>REPLACE(INDEX(GroupVertices[Group],MATCH(Edges[[#This Row],[Vertex 1]],GroupVertices[Vertex],0)),1,1,"")</f>
        <v>6</v>
      </c>
      <c r="R389" s="88" t="str">
        <f>REPLACE(INDEX(GroupVertices[Group],MATCH(Edges[[#This Row],[Vertex 2]],GroupVertices[Vertex],0)),1,1,"")</f>
        <v>6</v>
      </c>
      <c r="S389" s="34"/>
      <c r="T389" s="34"/>
      <c r="U389" s="34"/>
      <c r="V389" s="34"/>
      <c r="W389" s="34"/>
      <c r="X389" s="34"/>
      <c r="Y389" s="34"/>
      <c r="Z389" s="34"/>
      <c r="AA389" s="34"/>
    </row>
    <row r="390" spans="1:27" ht="15">
      <c r="A390" s="65" t="s">
        <v>233</v>
      </c>
      <c r="B390" s="65" t="s">
        <v>481</v>
      </c>
      <c r="C390" s="66" t="s">
        <v>2751</v>
      </c>
      <c r="D390" s="67">
        <v>3</v>
      </c>
      <c r="E390" s="68"/>
      <c r="F390" s="69">
        <v>50</v>
      </c>
      <c r="G390" s="66"/>
      <c r="H390" s="70"/>
      <c r="I390" s="71"/>
      <c r="J390" s="71"/>
      <c r="K390" s="34" t="s">
        <v>65</v>
      </c>
      <c r="L390" s="78">
        <v>390</v>
      </c>
      <c r="M390" s="78"/>
      <c r="N390" s="73"/>
      <c r="O390" s="89" t="s">
        <v>494</v>
      </c>
      <c r="P390">
        <v>1</v>
      </c>
      <c r="Q390" s="88" t="str">
        <f>REPLACE(INDEX(GroupVertices[Group],MATCH(Edges[[#This Row],[Vertex 1]],GroupVertices[Vertex],0)),1,1,"")</f>
        <v>6</v>
      </c>
      <c r="R390" s="88" t="str">
        <f>REPLACE(INDEX(GroupVertices[Group],MATCH(Edges[[#This Row],[Vertex 2]],GroupVertices[Vertex],0)),1,1,"")</f>
        <v>6</v>
      </c>
      <c r="S390" s="34"/>
      <c r="T390" s="34"/>
      <c r="U390" s="34"/>
      <c r="V390" s="34"/>
      <c r="W390" s="34"/>
      <c r="X390" s="34"/>
      <c r="Y390" s="34"/>
      <c r="Z390" s="34"/>
      <c r="AA390" s="34"/>
    </row>
    <row r="391" spans="1:27" ht="15">
      <c r="A391" s="65" t="s">
        <v>233</v>
      </c>
      <c r="B391" s="65" t="s">
        <v>482</v>
      </c>
      <c r="C391" s="66" t="s">
        <v>2751</v>
      </c>
      <c r="D391" s="67">
        <v>3</v>
      </c>
      <c r="E391" s="68"/>
      <c r="F391" s="69">
        <v>50</v>
      </c>
      <c r="G391" s="66"/>
      <c r="H391" s="70"/>
      <c r="I391" s="71"/>
      <c r="J391" s="71"/>
      <c r="K391" s="34" t="s">
        <v>65</v>
      </c>
      <c r="L391" s="78">
        <v>391</v>
      </c>
      <c r="M391" s="78"/>
      <c r="N391" s="73"/>
      <c r="O391" s="89" t="s">
        <v>494</v>
      </c>
      <c r="P391">
        <v>1</v>
      </c>
      <c r="Q391" s="88" t="str">
        <f>REPLACE(INDEX(GroupVertices[Group],MATCH(Edges[[#This Row],[Vertex 1]],GroupVertices[Vertex],0)),1,1,"")</f>
        <v>6</v>
      </c>
      <c r="R391" s="88" t="str">
        <f>REPLACE(INDEX(GroupVertices[Group],MATCH(Edges[[#This Row],[Vertex 2]],GroupVertices[Vertex],0)),1,1,"")</f>
        <v>6</v>
      </c>
      <c r="S391" s="34"/>
      <c r="T391" s="34"/>
      <c r="U391" s="34"/>
      <c r="V391" s="34"/>
      <c r="W391" s="34"/>
      <c r="X391" s="34"/>
      <c r="Y391" s="34"/>
      <c r="Z391" s="34"/>
      <c r="AA391" s="34"/>
    </row>
    <row r="392" spans="1:27" ht="15">
      <c r="A392" s="65" t="s">
        <v>233</v>
      </c>
      <c r="B392" s="65" t="s">
        <v>483</v>
      </c>
      <c r="C392" s="66" t="s">
        <v>2751</v>
      </c>
      <c r="D392" s="67">
        <v>3</v>
      </c>
      <c r="E392" s="68"/>
      <c r="F392" s="69">
        <v>50</v>
      </c>
      <c r="G392" s="66"/>
      <c r="H392" s="70"/>
      <c r="I392" s="71"/>
      <c r="J392" s="71"/>
      <c r="K392" s="34" t="s">
        <v>65</v>
      </c>
      <c r="L392" s="78">
        <v>392</v>
      </c>
      <c r="M392" s="78"/>
      <c r="N392" s="73"/>
      <c r="O392" s="89" t="s">
        <v>494</v>
      </c>
      <c r="P392">
        <v>1</v>
      </c>
      <c r="Q392" s="88" t="str">
        <f>REPLACE(INDEX(GroupVertices[Group],MATCH(Edges[[#This Row],[Vertex 1]],GroupVertices[Vertex],0)),1,1,"")</f>
        <v>6</v>
      </c>
      <c r="R392" s="88" t="str">
        <f>REPLACE(INDEX(GroupVertices[Group],MATCH(Edges[[#This Row],[Vertex 2]],GroupVertices[Vertex],0)),1,1,"")</f>
        <v>6</v>
      </c>
      <c r="S392" s="34"/>
      <c r="T392" s="34"/>
      <c r="U392" s="34"/>
      <c r="V392" s="34"/>
      <c r="W392" s="34"/>
      <c r="X392" s="34"/>
      <c r="Y392" s="34"/>
      <c r="Z392" s="34"/>
      <c r="AA392" s="34"/>
    </row>
    <row r="393" spans="1:27" ht="15">
      <c r="A393" s="65" t="s">
        <v>233</v>
      </c>
      <c r="B393" s="65" t="s">
        <v>484</v>
      </c>
      <c r="C393" s="66" t="s">
        <v>2751</v>
      </c>
      <c r="D393" s="67">
        <v>3</v>
      </c>
      <c r="E393" s="68"/>
      <c r="F393" s="69">
        <v>50</v>
      </c>
      <c r="G393" s="66"/>
      <c r="H393" s="70"/>
      <c r="I393" s="71"/>
      <c r="J393" s="71"/>
      <c r="K393" s="34" t="s">
        <v>65</v>
      </c>
      <c r="L393" s="78">
        <v>393</v>
      </c>
      <c r="M393" s="78"/>
      <c r="N393" s="73"/>
      <c r="O393" s="89" t="s">
        <v>494</v>
      </c>
      <c r="P393">
        <v>1</v>
      </c>
      <c r="Q393" s="88" t="str">
        <f>REPLACE(INDEX(GroupVertices[Group],MATCH(Edges[[#This Row],[Vertex 1]],GroupVertices[Vertex],0)),1,1,"")</f>
        <v>6</v>
      </c>
      <c r="R393" s="88" t="str">
        <f>REPLACE(INDEX(GroupVertices[Group],MATCH(Edges[[#This Row],[Vertex 2]],GroupVertices[Vertex],0)),1,1,"")</f>
        <v>6</v>
      </c>
      <c r="S393" s="34"/>
      <c r="T393" s="34"/>
      <c r="U393" s="34"/>
      <c r="V393" s="34"/>
      <c r="W393" s="34"/>
      <c r="X393" s="34"/>
      <c r="Y393" s="34"/>
      <c r="Z393" s="34"/>
      <c r="AA393" s="34"/>
    </row>
    <row r="394" spans="1:27" ht="15">
      <c r="A394" s="65" t="s">
        <v>233</v>
      </c>
      <c r="B394" s="65" t="s">
        <v>485</v>
      </c>
      <c r="C394" s="66" t="s">
        <v>2751</v>
      </c>
      <c r="D394" s="67">
        <v>3</v>
      </c>
      <c r="E394" s="68"/>
      <c r="F394" s="69">
        <v>50</v>
      </c>
      <c r="G394" s="66"/>
      <c r="H394" s="70"/>
      <c r="I394" s="71"/>
      <c r="J394" s="71"/>
      <c r="K394" s="34" t="s">
        <v>65</v>
      </c>
      <c r="L394" s="78">
        <v>394</v>
      </c>
      <c r="M394" s="78"/>
      <c r="N394" s="73"/>
      <c r="O394" s="89" t="s">
        <v>494</v>
      </c>
      <c r="P394">
        <v>1</v>
      </c>
      <c r="Q394" s="88" t="str">
        <f>REPLACE(INDEX(GroupVertices[Group],MATCH(Edges[[#This Row],[Vertex 1]],GroupVertices[Vertex],0)),1,1,"")</f>
        <v>6</v>
      </c>
      <c r="R394" s="88" t="str">
        <f>REPLACE(INDEX(GroupVertices[Group],MATCH(Edges[[#This Row],[Vertex 2]],GroupVertices[Vertex],0)),1,1,"")</f>
        <v>6</v>
      </c>
      <c r="S394" s="34"/>
      <c r="T394" s="34"/>
      <c r="U394" s="34"/>
      <c r="V394" s="34"/>
      <c r="W394" s="34"/>
      <c r="X394" s="34"/>
      <c r="Y394" s="34"/>
      <c r="Z394" s="34"/>
      <c r="AA394" s="34"/>
    </row>
    <row r="395" spans="1:27" ht="15">
      <c r="A395" s="65" t="s">
        <v>233</v>
      </c>
      <c r="B395" s="65" t="s">
        <v>486</v>
      </c>
      <c r="C395" s="66" t="s">
        <v>2751</v>
      </c>
      <c r="D395" s="67">
        <v>3</v>
      </c>
      <c r="E395" s="68"/>
      <c r="F395" s="69">
        <v>50</v>
      </c>
      <c r="G395" s="66"/>
      <c r="H395" s="70"/>
      <c r="I395" s="71"/>
      <c r="J395" s="71"/>
      <c r="K395" s="34" t="s">
        <v>65</v>
      </c>
      <c r="L395" s="78">
        <v>395</v>
      </c>
      <c r="M395" s="78"/>
      <c r="N395" s="73"/>
      <c r="O395" s="89" t="s">
        <v>494</v>
      </c>
      <c r="P395">
        <v>1</v>
      </c>
      <c r="Q395" s="88" t="str">
        <f>REPLACE(INDEX(GroupVertices[Group],MATCH(Edges[[#This Row],[Vertex 1]],GroupVertices[Vertex],0)),1,1,"")</f>
        <v>6</v>
      </c>
      <c r="R395" s="88" t="str">
        <f>REPLACE(INDEX(GroupVertices[Group],MATCH(Edges[[#This Row],[Vertex 2]],GroupVertices[Vertex],0)),1,1,"")</f>
        <v>6</v>
      </c>
      <c r="S395" s="34"/>
      <c r="T395" s="34"/>
      <c r="U395" s="34"/>
      <c r="V395" s="34"/>
      <c r="W395" s="34"/>
      <c r="X395" s="34"/>
      <c r="Y395" s="34"/>
      <c r="Z395" s="34"/>
      <c r="AA395" s="34"/>
    </row>
    <row r="396" spans="1:27" ht="15">
      <c r="A396" s="65" t="s">
        <v>233</v>
      </c>
      <c r="B396" s="65" t="s">
        <v>487</v>
      </c>
      <c r="C396" s="66" t="s">
        <v>2751</v>
      </c>
      <c r="D396" s="67">
        <v>3</v>
      </c>
      <c r="E396" s="68"/>
      <c r="F396" s="69">
        <v>50</v>
      </c>
      <c r="G396" s="66"/>
      <c r="H396" s="70"/>
      <c r="I396" s="71"/>
      <c r="J396" s="71"/>
      <c r="K396" s="34" t="s">
        <v>65</v>
      </c>
      <c r="L396" s="78">
        <v>396</v>
      </c>
      <c r="M396" s="78"/>
      <c r="N396" s="73"/>
      <c r="O396" s="89" t="s">
        <v>494</v>
      </c>
      <c r="P396">
        <v>1</v>
      </c>
      <c r="Q396" s="88" t="str">
        <f>REPLACE(INDEX(GroupVertices[Group],MATCH(Edges[[#This Row],[Vertex 1]],GroupVertices[Vertex],0)),1,1,"")</f>
        <v>6</v>
      </c>
      <c r="R396" s="88" t="str">
        <f>REPLACE(INDEX(GroupVertices[Group],MATCH(Edges[[#This Row],[Vertex 2]],GroupVertices[Vertex],0)),1,1,"")</f>
        <v>6</v>
      </c>
      <c r="S396" s="34"/>
      <c r="T396" s="34"/>
      <c r="U396" s="34"/>
      <c r="V396" s="34"/>
      <c r="W396" s="34"/>
      <c r="X396" s="34"/>
      <c r="Y396" s="34"/>
      <c r="Z396" s="34"/>
      <c r="AA396" s="34"/>
    </row>
    <row r="397" spans="1:27" ht="15">
      <c r="A397" s="65" t="s">
        <v>233</v>
      </c>
      <c r="B397" s="65" t="s">
        <v>488</v>
      </c>
      <c r="C397" s="66" t="s">
        <v>2751</v>
      </c>
      <c r="D397" s="67">
        <v>3</v>
      </c>
      <c r="E397" s="68"/>
      <c r="F397" s="69">
        <v>50</v>
      </c>
      <c r="G397" s="66"/>
      <c r="H397" s="70"/>
      <c r="I397" s="71"/>
      <c r="J397" s="71"/>
      <c r="K397" s="34" t="s">
        <v>65</v>
      </c>
      <c r="L397" s="78">
        <v>397</v>
      </c>
      <c r="M397" s="78"/>
      <c r="N397" s="73"/>
      <c r="O397" s="89" t="s">
        <v>494</v>
      </c>
      <c r="P397">
        <v>1</v>
      </c>
      <c r="Q397" s="88" t="str">
        <f>REPLACE(INDEX(GroupVertices[Group],MATCH(Edges[[#This Row],[Vertex 1]],GroupVertices[Vertex],0)),1,1,"")</f>
        <v>6</v>
      </c>
      <c r="R397" s="88" t="str">
        <f>REPLACE(INDEX(GroupVertices[Group],MATCH(Edges[[#This Row],[Vertex 2]],GroupVertices[Vertex],0)),1,1,"")</f>
        <v>6</v>
      </c>
      <c r="S397" s="34"/>
      <c r="T397" s="34"/>
      <c r="U397" s="34"/>
      <c r="V397" s="34"/>
      <c r="W397" s="34"/>
      <c r="X397" s="34"/>
      <c r="Y397" s="34"/>
      <c r="Z397" s="34"/>
      <c r="AA397" s="34"/>
    </row>
    <row r="398" spans="1:27" ht="15">
      <c r="A398" s="65" t="s">
        <v>233</v>
      </c>
      <c r="B398" s="65" t="s">
        <v>489</v>
      </c>
      <c r="C398" s="66" t="s">
        <v>2751</v>
      </c>
      <c r="D398" s="67">
        <v>3</v>
      </c>
      <c r="E398" s="68"/>
      <c r="F398" s="69">
        <v>50</v>
      </c>
      <c r="G398" s="66"/>
      <c r="H398" s="70"/>
      <c r="I398" s="71"/>
      <c r="J398" s="71"/>
      <c r="K398" s="34" t="s">
        <v>65</v>
      </c>
      <c r="L398" s="78">
        <v>398</v>
      </c>
      <c r="M398" s="78"/>
      <c r="N398" s="73"/>
      <c r="O398" s="89" t="s">
        <v>494</v>
      </c>
      <c r="P398">
        <v>1</v>
      </c>
      <c r="Q398" s="88" t="str">
        <f>REPLACE(INDEX(GroupVertices[Group],MATCH(Edges[[#This Row],[Vertex 1]],GroupVertices[Vertex],0)),1,1,"")</f>
        <v>6</v>
      </c>
      <c r="R398" s="88" t="str">
        <f>REPLACE(INDEX(GroupVertices[Group],MATCH(Edges[[#This Row],[Vertex 2]],GroupVertices[Vertex],0)),1,1,"")</f>
        <v>6</v>
      </c>
      <c r="S398" s="34"/>
      <c r="T398" s="34"/>
      <c r="U398" s="34"/>
      <c r="V398" s="34"/>
      <c r="W398" s="34"/>
      <c r="X398" s="34"/>
      <c r="Y398" s="34"/>
      <c r="Z398" s="34"/>
      <c r="AA398" s="34"/>
    </row>
    <row r="399" spans="1:27" ht="15">
      <c r="A399" s="65" t="s">
        <v>233</v>
      </c>
      <c r="B399" s="65" t="s">
        <v>490</v>
      </c>
      <c r="C399" s="66" t="s">
        <v>2751</v>
      </c>
      <c r="D399" s="67">
        <v>3</v>
      </c>
      <c r="E399" s="68"/>
      <c r="F399" s="69">
        <v>50</v>
      </c>
      <c r="G399" s="66"/>
      <c r="H399" s="70"/>
      <c r="I399" s="71"/>
      <c r="J399" s="71"/>
      <c r="K399" s="34" t="s">
        <v>65</v>
      </c>
      <c r="L399" s="78">
        <v>399</v>
      </c>
      <c r="M399" s="78"/>
      <c r="N399" s="73"/>
      <c r="O399" s="89" t="s">
        <v>494</v>
      </c>
      <c r="P399">
        <v>1</v>
      </c>
      <c r="Q399" s="88" t="str">
        <f>REPLACE(INDEX(GroupVertices[Group],MATCH(Edges[[#This Row],[Vertex 1]],GroupVertices[Vertex],0)),1,1,"")</f>
        <v>6</v>
      </c>
      <c r="R399" s="88" t="str">
        <f>REPLACE(INDEX(GroupVertices[Group],MATCH(Edges[[#This Row],[Vertex 2]],GroupVertices[Vertex],0)),1,1,"")</f>
        <v>6</v>
      </c>
      <c r="S399" s="34"/>
      <c r="T399" s="34"/>
      <c r="U399" s="34"/>
      <c r="V399" s="34"/>
      <c r="W399" s="34"/>
      <c r="X399" s="34"/>
      <c r="Y399" s="34"/>
      <c r="Z399" s="34"/>
      <c r="AA399" s="34"/>
    </row>
    <row r="400" spans="1:27" ht="15">
      <c r="A400" s="65" t="s">
        <v>233</v>
      </c>
      <c r="B400" s="65" t="s">
        <v>491</v>
      </c>
      <c r="C400" s="66" t="s">
        <v>2751</v>
      </c>
      <c r="D400" s="67">
        <v>3</v>
      </c>
      <c r="E400" s="68"/>
      <c r="F400" s="69">
        <v>50</v>
      </c>
      <c r="G400" s="66"/>
      <c r="H400" s="70"/>
      <c r="I400" s="71"/>
      <c r="J400" s="71"/>
      <c r="K400" s="34" t="s">
        <v>65</v>
      </c>
      <c r="L400" s="78">
        <v>400</v>
      </c>
      <c r="M400" s="78"/>
      <c r="N400" s="73"/>
      <c r="O400" s="89" t="s">
        <v>494</v>
      </c>
      <c r="P400">
        <v>1</v>
      </c>
      <c r="Q400" s="88" t="str">
        <f>REPLACE(INDEX(GroupVertices[Group],MATCH(Edges[[#This Row],[Vertex 1]],GroupVertices[Vertex],0)),1,1,"")</f>
        <v>6</v>
      </c>
      <c r="R400" s="88" t="str">
        <f>REPLACE(INDEX(GroupVertices[Group],MATCH(Edges[[#This Row],[Vertex 2]],GroupVertices[Vertex],0)),1,1,"")</f>
        <v>6</v>
      </c>
      <c r="S400" s="34"/>
      <c r="T400" s="34"/>
      <c r="U400" s="34"/>
      <c r="V400" s="34"/>
      <c r="W400" s="34"/>
      <c r="X400" s="34"/>
      <c r="Y400" s="34"/>
      <c r="Z400" s="34"/>
      <c r="AA400" s="34"/>
    </row>
    <row r="401" spans="1:27" ht="15">
      <c r="A401" s="65" t="s">
        <v>233</v>
      </c>
      <c r="B401" s="65" t="s">
        <v>492</v>
      </c>
      <c r="C401" s="66" t="s">
        <v>2751</v>
      </c>
      <c r="D401" s="67">
        <v>3</v>
      </c>
      <c r="E401" s="68"/>
      <c r="F401" s="69">
        <v>50</v>
      </c>
      <c r="G401" s="66"/>
      <c r="H401" s="70"/>
      <c r="I401" s="71"/>
      <c r="J401" s="71"/>
      <c r="K401" s="34" t="s">
        <v>65</v>
      </c>
      <c r="L401" s="78">
        <v>401</v>
      </c>
      <c r="M401" s="78"/>
      <c r="N401" s="73"/>
      <c r="O401" s="89" t="s">
        <v>494</v>
      </c>
      <c r="P401">
        <v>1</v>
      </c>
      <c r="Q401" s="88" t="str">
        <f>REPLACE(INDEX(GroupVertices[Group],MATCH(Edges[[#This Row],[Vertex 1]],GroupVertices[Vertex],0)),1,1,"")</f>
        <v>6</v>
      </c>
      <c r="R401" s="88" t="str">
        <f>REPLACE(INDEX(GroupVertices[Group],MATCH(Edges[[#This Row],[Vertex 2]],GroupVertices[Vertex],0)),1,1,"")</f>
        <v>6</v>
      </c>
      <c r="S401" s="34"/>
      <c r="T401" s="34"/>
      <c r="U401" s="34"/>
      <c r="V401" s="34"/>
      <c r="W401" s="34"/>
      <c r="X401" s="34"/>
      <c r="Y401" s="34"/>
      <c r="Z401" s="34"/>
      <c r="AA401" s="34"/>
    </row>
    <row r="402" spans="1:27" ht="15">
      <c r="A402" s="79" t="s">
        <v>233</v>
      </c>
      <c r="B402" s="79" t="s">
        <v>330</v>
      </c>
      <c r="C402" s="80" t="s">
        <v>2751</v>
      </c>
      <c r="D402" s="81">
        <v>3</v>
      </c>
      <c r="E402" s="82"/>
      <c r="F402" s="83">
        <v>50</v>
      </c>
      <c r="G402" s="80"/>
      <c r="H402" s="84"/>
      <c r="I402" s="85"/>
      <c r="J402" s="85"/>
      <c r="K402" s="34" t="s">
        <v>65</v>
      </c>
      <c r="L402" s="86">
        <v>402</v>
      </c>
      <c r="M402" s="86"/>
      <c r="N402" s="87"/>
      <c r="O402" s="90" t="s">
        <v>494</v>
      </c>
      <c r="P402">
        <v>1</v>
      </c>
      <c r="Q402" s="88" t="str">
        <f>REPLACE(INDEX(GroupVertices[Group],MATCH(Edges[[#This Row],[Vertex 1]],GroupVertices[Vertex],0)),1,1,"")</f>
        <v>6</v>
      </c>
      <c r="R402" s="88" t="str">
        <f>REPLACE(INDEX(GroupVertices[Group],MATCH(Edges[[#This Row],[Vertex 2]],GroupVertices[Vertex],0)),1,1,"")</f>
        <v>6</v>
      </c>
      <c r="S402" s="34"/>
      <c r="T402" s="34"/>
      <c r="U402" s="34"/>
      <c r="V402" s="34"/>
      <c r="W402" s="34"/>
      <c r="X402" s="34"/>
      <c r="Y402" s="34"/>
      <c r="Z402" s="34"/>
      <c r="AA402" s="34"/>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2"/>
    <dataValidation allowBlank="1" showErrorMessage="1" sqref="N2:N40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2"/>
    <dataValidation allowBlank="1" showInputMessage="1" promptTitle="Edge Color" prompt="To select an optional edge color, right-click and select Select Color on the right-click menu." sqref="C3:C402"/>
    <dataValidation allowBlank="1" showInputMessage="1" promptTitle="Edge Width" prompt="Enter an optional edge width between 1 and 10." errorTitle="Invalid Edge Width" error="The optional edge width must be a whole number between 1 and 10." sqref="D3:D402"/>
    <dataValidation allowBlank="1" showInputMessage="1" promptTitle="Edge Opacity" prompt="Enter an optional edge opacity between 0 (transparent) and 100 (opaque)." errorTitle="Invalid Edge Opacity" error="The optional edge opacity must be a whole number between 0 and 10." sqref="F3:F40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2">
      <formula1>ValidEdgeVisibilities</formula1>
    </dataValidation>
    <dataValidation allowBlank="1" showInputMessage="1" showErrorMessage="1" promptTitle="Vertex 1 Name" prompt="Enter the name of the edge's first vertex." sqref="A3:A402"/>
    <dataValidation allowBlank="1" showInputMessage="1" showErrorMessage="1" promptTitle="Vertex 2 Name" prompt="Enter the name of the edge's second vertex." sqref="B3:B402"/>
    <dataValidation allowBlank="1" showInputMessage="1" showErrorMessage="1" promptTitle="Edge Label" prompt="Enter an optional edge label." errorTitle="Invalid Edge Visibility" error="You have entered an unrecognized edge visibility.  Try selecting from the drop-down list instead." sqref="H3:H40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53E09-E639-46D1-B7D8-1483D4106621}">
  <dimension ref="A1:C3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2583</v>
      </c>
      <c r="B2" s="119" t="s">
        <v>2584</v>
      </c>
      <c r="C2" s="52" t="s">
        <v>2585</v>
      </c>
    </row>
    <row r="3" spans="1:3" ht="15">
      <c r="A3" s="118" t="s">
        <v>1707</v>
      </c>
      <c r="B3" s="118" t="s">
        <v>1707</v>
      </c>
      <c r="C3" s="34">
        <v>58</v>
      </c>
    </row>
    <row r="4" spans="1:3" ht="15">
      <c r="A4" s="118" t="s">
        <v>1707</v>
      </c>
      <c r="B4" s="118" t="s">
        <v>1708</v>
      </c>
      <c r="C4" s="34">
        <v>18</v>
      </c>
    </row>
    <row r="5" spans="1:3" ht="15">
      <c r="A5" s="118" t="s">
        <v>1707</v>
      </c>
      <c r="B5" s="118" t="s">
        <v>1711</v>
      </c>
      <c r="C5" s="34">
        <v>3</v>
      </c>
    </row>
    <row r="6" spans="1:3" ht="15">
      <c r="A6" s="118" t="s">
        <v>1707</v>
      </c>
      <c r="B6" s="118" t="s">
        <v>1715</v>
      </c>
      <c r="C6" s="34">
        <v>1</v>
      </c>
    </row>
    <row r="7" spans="1:3" ht="15">
      <c r="A7" s="118" t="s">
        <v>1708</v>
      </c>
      <c r="B7" s="118" t="s">
        <v>1707</v>
      </c>
      <c r="C7" s="34">
        <v>9</v>
      </c>
    </row>
    <row r="8" spans="1:3" ht="15">
      <c r="A8" s="118" t="s">
        <v>1708</v>
      </c>
      <c r="B8" s="118" t="s">
        <v>1708</v>
      </c>
      <c r="C8" s="34">
        <v>78</v>
      </c>
    </row>
    <row r="9" spans="1:3" ht="15">
      <c r="A9" s="118" t="s">
        <v>1708</v>
      </c>
      <c r="B9" s="118" t="s">
        <v>1709</v>
      </c>
      <c r="C9" s="34">
        <v>1</v>
      </c>
    </row>
    <row r="10" spans="1:3" ht="15">
      <c r="A10" s="118" t="s">
        <v>1708</v>
      </c>
      <c r="B10" s="118" t="s">
        <v>1710</v>
      </c>
      <c r="C10" s="34">
        <v>3</v>
      </c>
    </row>
    <row r="11" spans="1:3" ht="15">
      <c r="A11" s="118" t="s">
        <v>1708</v>
      </c>
      <c r="B11" s="118" t="s">
        <v>1711</v>
      </c>
      <c r="C11" s="34">
        <v>7</v>
      </c>
    </row>
    <row r="12" spans="1:3" ht="15">
      <c r="A12" s="118" t="s">
        <v>1708</v>
      </c>
      <c r="B12" s="118" t="s">
        <v>1714</v>
      </c>
      <c r="C12" s="34">
        <v>1</v>
      </c>
    </row>
    <row r="13" spans="1:3" ht="15">
      <c r="A13" s="118" t="s">
        <v>1708</v>
      </c>
      <c r="B13" s="118" t="s">
        <v>1715</v>
      </c>
      <c r="C13" s="34">
        <v>1</v>
      </c>
    </row>
    <row r="14" spans="1:3" ht="15">
      <c r="A14" s="118" t="s">
        <v>1709</v>
      </c>
      <c r="B14" s="118" t="s">
        <v>1708</v>
      </c>
      <c r="C14" s="34">
        <v>1</v>
      </c>
    </row>
    <row r="15" spans="1:3" ht="15">
      <c r="A15" s="118" t="s">
        <v>1709</v>
      </c>
      <c r="B15" s="118" t="s">
        <v>1709</v>
      </c>
      <c r="C15" s="34">
        <v>36</v>
      </c>
    </row>
    <row r="16" spans="1:3" ht="15">
      <c r="A16" s="118" t="s">
        <v>1709</v>
      </c>
      <c r="B16" s="118" t="s">
        <v>1711</v>
      </c>
      <c r="C16" s="34">
        <v>2</v>
      </c>
    </row>
    <row r="17" spans="1:3" ht="15">
      <c r="A17" s="118" t="s">
        <v>1709</v>
      </c>
      <c r="B17" s="118" t="s">
        <v>1713</v>
      </c>
      <c r="C17" s="34">
        <v>1</v>
      </c>
    </row>
    <row r="18" spans="1:3" ht="15">
      <c r="A18" s="118" t="s">
        <v>1710</v>
      </c>
      <c r="B18" s="118" t="s">
        <v>1707</v>
      </c>
      <c r="C18" s="34">
        <v>1</v>
      </c>
    </row>
    <row r="19" spans="1:3" ht="15">
      <c r="A19" s="118" t="s">
        <v>1710</v>
      </c>
      <c r="B19" s="118" t="s">
        <v>1708</v>
      </c>
      <c r="C19" s="34">
        <v>8</v>
      </c>
    </row>
    <row r="20" spans="1:3" ht="15">
      <c r="A20" s="118" t="s">
        <v>1710</v>
      </c>
      <c r="B20" s="118" t="s">
        <v>1709</v>
      </c>
      <c r="C20" s="34">
        <v>1</v>
      </c>
    </row>
    <row r="21" spans="1:3" ht="15">
      <c r="A21" s="118" t="s">
        <v>1710</v>
      </c>
      <c r="B21" s="118" t="s">
        <v>1710</v>
      </c>
      <c r="C21" s="34">
        <v>28</v>
      </c>
    </row>
    <row r="22" spans="1:3" ht="15">
      <c r="A22" s="118" t="s">
        <v>1710</v>
      </c>
      <c r="B22" s="118" t="s">
        <v>1711</v>
      </c>
      <c r="C22" s="34">
        <v>2</v>
      </c>
    </row>
    <row r="23" spans="1:3" ht="15">
      <c r="A23" s="118" t="s">
        <v>1711</v>
      </c>
      <c r="B23" s="118" t="s">
        <v>1707</v>
      </c>
      <c r="C23" s="34">
        <v>1</v>
      </c>
    </row>
    <row r="24" spans="1:3" ht="15">
      <c r="A24" s="118" t="s">
        <v>1711</v>
      </c>
      <c r="B24" s="118" t="s">
        <v>1708</v>
      </c>
      <c r="C24" s="34">
        <v>8</v>
      </c>
    </row>
    <row r="25" spans="1:3" ht="15">
      <c r="A25" s="118" t="s">
        <v>1711</v>
      </c>
      <c r="B25" s="118" t="s">
        <v>1709</v>
      </c>
      <c r="C25" s="34">
        <v>2</v>
      </c>
    </row>
    <row r="26" spans="1:3" ht="15">
      <c r="A26" s="118" t="s">
        <v>1711</v>
      </c>
      <c r="B26" s="118" t="s">
        <v>1710</v>
      </c>
      <c r="C26" s="34">
        <v>2</v>
      </c>
    </row>
    <row r="27" spans="1:3" ht="15">
      <c r="A27" s="118" t="s">
        <v>1711</v>
      </c>
      <c r="B27" s="118" t="s">
        <v>1711</v>
      </c>
      <c r="C27" s="34">
        <v>26</v>
      </c>
    </row>
    <row r="28" spans="1:3" ht="15">
      <c r="A28" s="118" t="s">
        <v>1711</v>
      </c>
      <c r="B28" s="118" t="s">
        <v>1712</v>
      </c>
      <c r="C28" s="34">
        <v>1</v>
      </c>
    </row>
    <row r="29" spans="1:3" ht="15">
      <c r="A29" s="118" t="s">
        <v>1712</v>
      </c>
      <c r="B29" s="118" t="s">
        <v>1712</v>
      </c>
      <c r="C29" s="34">
        <v>20</v>
      </c>
    </row>
    <row r="30" spans="1:3" ht="15">
      <c r="A30" s="118" t="s">
        <v>1713</v>
      </c>
      <c r="B30" s="118" t="s">
        <v>1713</v>
      </c>
      <c r="C30" s="34">
        <v>20</v>
      </c>
    </row>
    <row r="31" spans="1:3" ht="15">
      <c r="A31" s="118" t="s">
        <v>1714</v>
      </c>
      <c r="B31" s="118" t="s">
        <v>1714</v>
      </c>
      <c r="C31" s="34">
        <v>20</v>
      </c>
    </row>
    <row r="32" spans="1:3" ht="15">
      <c r="A32" s="118" t="s">
        <v>1715</v>
      </c>
      <c r="B32" s="118" t="s">
        <v>1715</v>
      </c>
      <c r="C32" s="34">
        <v>20</v>
      </c>
    </row>
    <row r="33" spans="1:3" ht="15">
      <c r="A33" s="118" t="s">
        <v>1716</v>
      </c>
      <c r="B33" s="118" t="s">
        <v>1707</v>
      </c>
      <c r="C33" s="34">
        <v>1</v>
      </c>
    </row>
    <row r="34" spans="1:3" ht="15">
      <c r="A34" s="118" t="s">
        <v>1716</v>
      </c>
      <c r="B34" s="118" t="s">
        <v>1708</v>
      </c>
      <c r="C34" s="34">
        <v>2</v>
      </c>
    </row>
    <row r="35" spans="1:3" ht="15">
      <c r="A35" s="118" t="s">
        <v>1716</v>
      </c>
      <c r="B35" s="118" t="s">
        <v>1711</v>
      </c>
      <c r="C35" s="34">
        <v>1</v>
      </c>
    </row>
    <row r="36" spans="1:3" ht="15">
      <c r="A36" s="118" t="s">
        <v>1716</v>
      </c>
      <c r="B36" s="118" t="s">
        <v>1716</v>
      </c>
      <c r="C36" s="34">
        <v>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45939-1411-43F5-BBBA-05B9ABF124DB}">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2603</v>
      </c>
      <c r="B1" s="13" t="s">
        <v>17</v>
      </c>
    </row>
    <row r="2" spans="1:2" ht="15">
      <c r="A2" s="88" t="s">
        <v>2604</v>
      </c>
      <c r="B2" s="88" t="s">
        <v>2610</v>
      </c>
    </row>
    <row r="3" spans="1:2" ht="15">
      <c r="A3" s="88" t="s">
        <v>2605</v>
      </c>
      <c r="B3" s="88" t="s">
        <v>2611</v>
      </c>
    </row>
    <row r="4" spans="1:2" ht="15">
      <c r="A4" s="88" t="s">
        <v>2606</v>
      </c>
      <c r="B4" s="88" t="s">
        <v>2612</v>
      </c>
    </row>
    <row r="5" spans="1:2" ht="15">
      <c r="A5" s="88" t="s">
        <v>2607</v>
      </c>
      <c r="B5" s="88" t="s">
        <v>2613</v>
      </c>
    </row>
    <row r="6" spans="1:2" ht="15">
      <c r="A6" s="88" t="s">
        <v>2608</v>
      </c>
      <c r="B6" s="88" t="s">
        <v>2614</v>
      </c>
    </row>
    <row r="7" spans="1:2" ht="15">
      <c r="A7" s="88" t="s">
        <v>2609</v>
      </c>
      <c r="B7" s="88"/>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85DEFA-7D15-471B-9BBA-07D3DCEC5C7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2615</v>
      </c>
      <c r="B1" s="13" t="s">
        <v>34</v>
      </c>
    </row>
    <row r="2" spans="1:2" ht="15">
      <c r="A2" s="113" t="s">
        <v>214</v>
      </c>
      <c r="B2" s="88">
        <v>21892.094242</v>
      </c>
    </row>
    <row r="3" spans="1:2" ht="15">
      <c r="A3" s="113" t="s">
        <v>218</v>
      </c>
      <c r="B3" s="88">
        <v>18655.655013</v>
      </c>
    </row>
    <row r="4" spans="1:2" ht="15">
      <c r="A4" s="113" t="s">
        <v>220</v>
      </c>
      <c r="B4" s="88">
        <v>16596.036185</v>
      </c>
    </row>
    <row r="5" spans="1:2" ht="15">
      <c r="A5" s="113" t="s">
        <v>224</v>
      </c>
      <c r="B5" s="88">
        <v>13230.534029</v>
      </c>
    </row>
    <row r="6" spans="1:2" ht="15">
      <c r="A6" s="113" t="s">
        <v>221</v>
      </c>
      <c r="B6" s="88">
        <v>13058.355905</v>
      </c>
    </row>
    <row r="7" spans="1:2" ht="15">
      <c r="A7" s="113" t="s">
        <v>228</v>
      </c>
      <c r="B7" s="88">
        <v>10769.496327</v>
      </c>
    </row>
    <row r="8" spans="1:2" ht="15">
      <c r="A8" s="113" t="s">
        <v>335</v>
      </c>
      <c r="B8" s="88">
        <v>10360</v>
      </c>
    </row>
    <row r="9" spans="1:2" ht="15">
      <c r="A9" s="113" t="s">
        <v>246</v>
      </c>
      <c r="B9" s="88">
        <v>10360</v>
      </c>
    </row>
    <row r="10" spans="1:2" ht="15">
      <c r="A10" s="113" t="s">
        <v>330</v>
      </c>
      <c r="B10" s="88">
        <v>10360</v>
      </c>
    </row>
    <row r="11" spans="1:2" ht="15">
      <c r="A11" s="113" t="s">
        <v>231</v>
      </c>
      <c r="B11" s="88">
        <v>10222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335DB-8F50-4026-BA33-66D6641898F9}">
  <dimension ref="A1:V24"/>
  <sheetViews>
    <sheetView workbookViewId="0" topLeftCell="A1"/>
  </sheetViews>
  <sheetFormatPr defaultColWidth="9.140625" defaultRowHeight="15"/>
  <cols>
    <col min="1" max="1" width="38.7109375" style="0" customWidth="1"/>
    <col min="2" max="2" width="20.28125" style="0" bestFit="1" customWidth="1"/>
    <col min="3" max="3" width="28.7109375" style="0" customWidth="1"/>
    <col min="4" max="4" width="11.28125" style="0" bestFit="1" customWidth="1"/>
    <col min="5" max="5" width="28.7109375" style="0" customWidth="1"/>
    <col min="6" max="6" width="11.28125" style="0" bestFit="1" customWidth="1"/>
    <col min="7" max="7" width="28.7109375" style="0" customWidth="1"/>
    <col min="8" max="8" width="11.28125" style="0" bestFit="1" customWidth="1"/>
    <col min="9" max="9" width="28.7109375" style="0" customWidth="1"/>
    <col min="10" max="10" width="11.28125" style="0" bestFit="1" customWidth="1"/>
    <col min="11" max="11" width="28.7109375" style="0" customWidth="1"/>
    <col min="12" max="12" width="11.28125" style="0" bestFit="1" customWidth="1"/>
    <col min="13" max="13" width="28.7109375" style="0" customWidth="1"/>
    <col min="14" max="14" width="11.28125" style="0" bestFit="1" customWidth="1"/>
    <col min="15" max="15" width="28.7109375" style="0" customWidth="1"/>
    <col min="16" max="16" width="11.28125" style="0" bestFit="1" customWidth="1"/>
    <col min="17" max="17" width="28.7109375" style="0" customWidth="1"/>
    <col min="18" max="18" width="11.28125" style="0" bestFit="1" customWidth="1"/>
    <col min="19" max="19" width="28.7109375" style="0" customWidth="1"/>
    <col min="20" max="20" width="11.28125" style="0" bestFit="1" customWidth="1"/>
    <col min="21" max="21" width="29.7109375" style="0" customWidth="1"/>
    <col min="22" max="22" width="12.28125" style="0" bestFit="1" customWidth="1"/>
  </cols>
  <sheetData>
    <row r="1" spans="1:22" ht="15" customHeight="1">
      <c r="A1" s="13" t="s">
        <v>2616</v>
      </c>
      <c r="B1" s="13" t="s">
        <v>2617</v>
      </c>
      <c r="C1" s="13" t="s">
        <v>2618</v>
      </c>
      <c r="D1" s="13" t="s">
        <v>2620</v>
      </c>
      <c r="E1" s="13" t="s">
        <v>2619</v>
      </c>
      <c r="F1" s="13" t="s">
        <v>2622</v>
      </c>
      <c r="G1" s="13" t="s">
        <v>2621</v>
      </c>
      <c r="H1" s="13" t="s">
        <v>2624</v>
      </c>
      <c r="I1" s="13" t="s">
        <v>2623</v>
      </c>
      <c r="J1" s="13" t="s">
        <v>2626</v>
      </c>
      <c r="K1" s="13" t="s">
        <v>2625</v>
      </c>
      <c r="L1" s="13" t="s">
        <v>2628</v>
      </c>
      <c r="M1" s="13" t="s">
        <v>2627</v>
      </c>
      <c r="N1" s="13" t="s">
        <v>2630</v>
      </c>
      <c r="O1" s="13" t="s">
        <v>2629</v>
      </c>
      <c r="P1" s="13" t="s">
        <v>2632</v>
      </c>
      <c r="Q1" s="13" t="s">
        <v>2631</v>
      </c>
      <c r="R1" s="13" t="s">
        <v>2634</v>
      </c>
      <c r="S1" s="13" t="s">
        <v>2633</v>
      </c>
      <c r="T1" s="13" t="s">
        <v>2636</v>
      </c>
      <c r="U1" s="13" t="s">
        <v>2635</v>
      </c>
      <c r="V1" s="13" t="s">
        <v>2637</v>
      </c>
    </row>
    <row r="2" spans="1:22" ht="15">
      <c r="A2" s="114" t="s">
        <v>1739</v>
      </c>
      <c r="B2" s="114">
        <v>501</v>
      </c>
      <c r="C2" s="114" t="s">
        <v>1739</v>
      </c>
      <c r="D2" s="114">
        <v>154</v>
      </c>
      <c r="E2" s="114" t="s">
        <v>1739</v>
      </c>
      <c r="F2" s="114">
        <v>128</v>
      </c>
      <c r="G2" s="114" t="s">
        <v>1742</v>
      </c>
      <c r="H2" s="114">
        <v>23</v>
      </c>
      <c r="I2" s="114" t="s">
        <v>1739</v>
      </c>
      <c r="J2" s="114">
        <v>95</v>
      </c>
      <c r="K2" s="114" t="s">
        <v>1739</v>
      </c>
      <c r="L2" s="114">
        <v>77</v>
      </c>
      <c r="M2" s="114" t="s">
        <v>1754</v>
      </c>
      <c r="N2" s="114">
        <v>40</v>
      </c>
      <c r="O2" s="114" t="s">
        <v>1740</v>
      </c>
      <c r="P2" s="114">
        <v>31</v>
      </c>
      <c r="Q2" s="114" t="s">
        <v>1742</v>
      </c>
      <c r="R2" s="114">
        <v>12</v>
      </c>
      <c r="S2" s="114" t="s">
        <v>1739</v>
      </c>
      <c r="T2" s="114">
        <v>23</v>
      </c>
      <c r="U2" s="114" t="s">
        <v>1745</v>
      </c>
      <c r="V2" s="114">
        <v>57</v>
      </c>
    </row>
    <row r="3" spans="1:22" ht="15">
      <c r="A3" s="114" t="s">
        <v>1740</v>
      </c>
      <c r="B3" s="114">
        <v>381</v>
      </c>
      <c r="C3" s="114" t="s">
        <v>1740</v>
      </c>
      <c r="D3" s="114">
        <v>119</v>
      </c>
      <c r="E3" s="114" t="s">
        <v>1741</v>
      </c>
      <c r="F3" s="114">
        <v>93</v>
      </c>
      <c r="G3" s="114" t="s">
        <v>1773</v>
      </c>
      <c r="H3" s="114">
        <v>23</v>
      </c>
      <c r="I3" s="114" t="s">
        <v>1741</v>
      </c>
      <c r="J3" s="114">
        <v>40</v>
      </c>
      <c r="K3" s="114" t="s">
        <v>1740</v>
      </c>
      <c r="L3" s="114">
        <v>58</v>
      </c>
      <c r="M3" s="114" t="s">
        <v>1752</v>
      </c>
      <c r="N3" s="114">
        <v>31</v>
      </c>
      <c r="O3" s="114" t="s">
        <v>1779</v>
      </c>
      <c r="P3" s="114">
        <v>22</v>
      </c>
      <c r="Q3" s="114" t="s">
        <v>1780</v>
      </c>
      <c r="R3" s="114">
        <v>7</v>
      </c>
      <c r="S3" s="114" t="s">
        <v>1741</v>
      </c>
      <c r="T3" s="114">
        <v>19</v>
      </c>
      <c r="U3" s="114" t="s">
        <v>1740</v>
      </c>
      <c r="V3" s="114">
        <v>42</v>
      </c>
    </row>
    <row r="4" spans="1:22" ht="15">
      <c r="A4" s="114" t="s">
        <v>1741</v>
      </c>
      <c r="B4" s="114">
        <v>283</v>
      </c>
      <c r="C4" s="114" t="s">
        <v>1742</v>
      </c>
      <c r="D4" s="114">
        <v>66</v>
      </c>
      <c r="E4" s="114" t="s">
        <v>1742</v>
      </c>
      <c r="F4" s="114">
        <v>78</v>
      </c>
      <c r="G4" s="114" t="s">
        <v>1757</v>
      </c>
      <c r="H4" s="114">
        <v>19</v>
      </c>
      <c r="I4" s="114" t="s">
        <v>1740</v>
      </c>
      <c r="J4" s="114">
        <v>36</v>
      </c>
      <c r="K4" s="114" t="s">
        <v>1741</v>
      </c>
      <c r="L4" s="114">
        <v>43</v>
      </c>
      <c r="M4" s="114" t="s">
        <v>1768</v>
      </c>
      <c r="N4" s="114">
        <v>26</v>
      </c>
      <c r="O4" s="114" t="s">
        <v>1756</v>
      </c>
      <c r="P4" s="114">
        <v>12</v>
      </c>
      <c r="Q4" s="114" t="s">
        <v>1781</v>
      </c>
      <c r="R4" s="114">
        <v>7</v>
      </c>
      <c r="S4" s="114" t="s">
        <v>1743</v>
      </c>
      <c r="T4" s="114">
        <v>17</v>
      </c>
      <c r="U4" s="114" t="s">
        <v>1761</v>
      </c>
      <c r="V4" s="114">
        <v>15</v>
      </c>
    </row>
    <row r="5" spans="1:22" ht="15">
      <c r="A5" s="114" t="s">
        <v>1742</v>
      </c>
      <c r="B5" s="114">
        <v>243</v>
      </c>
      <c r="C5" s="114" t="s">
        <v>1741</v>
      </c>
      <c r="D5" s="114">
        <v>62</v>
      </c>
      <c r="E5" s="114" t="s">
        <v>1743</v>
      </c>
      <c r="F5" s="114">
        <v>70</v>
      </c>
      <c r="G5" s="114" t="s">
        <v>1794</v>
      </c>
      <c r="H5" s="114">
        <v>17</v>
      </c>
      <c r="I5" s="114" t="s">
        <v>1743</v>
      </c>
      <c r="J5" s="114">
        <v>34</v>
      </c>
      <c r="K5" s="114" t="s">
        <v>1743</v>
      </c>
      <c r="L5" s="114">
        <v>38</v>
      </c>
      <c r="M5" s="114" t="s">
        <v>1769</v>
      </c>
      <c r="N5" s="114">
        <v>26</v>
      </c>
      <c r="O5" s="114" t="s">
        <v>1844</v>
      </c>
      <c r="P5" s="114">
        <v>12</v>
      </c>
      <c r="Q5" s="114" t="s">
        <v>1798</v>
      </c>
      <c r="R5" s="114">
        <v>6</v>
      </c>
      <c r="S5" s="114" t="s">
        <v>1810</v>
      </c>
      <c r="T5" s="114">
        <v>16</v>
      </c>
      <c r="U5" s="114" t="s">
        <v>1775</v>
      </c>
      <c r="V5" s="114">
        <v>15</v>
      </c>
    </row>
    <row r="6" spans="1:22" ht="15">
      <c r="A6" s="114" t="s">
        <v>1743</v>
      </c>
      <c r="B6" s="114">
        <v>232</v>
      </c>
      <c r="C6" s="114" t="s">
        <v>1743</v>
      </c>
      <c r="D6" s="114">
        <v>51</v>
      </c>
      <c r="E6" s="114" t="s">
        <v>1740</v>
      </c>
      <c r="F6" s="114">
        <v>70</v>
      </c>
      <c r="G6" s="114" t="s">
        <v>1741</v>
      </c>
      <c r="H6" s="114">
        <v>14</v>
      </c>
      <c r="I6" s="114" t="s">
        <v>1742</v>
      </c>
      <c r="J6" s="114">
        <v>34</v>
      </c>
      <c r="K6" s="114" t="s">
        <v>1742</v>
      </c>
      <c r="L6" s="114">
        <v>24</v>
      </c>
      <c r="M6" s="114" t="s">
        <v>1772</v>
      </c>
      <c r="N6" s="114">
        <v>24</v>
      </c>
      <c r="O6" s="114" t="s">
        <v>1866</v>
      </c>
      <c r="P6" s="114">
        <v>10</v>
      </c>
      <c r="Q6" s="114" t="s">
        <v>1740</v>
      </c>
      <c r="R6" s="114">
        <v>6</v>
      </c>
      <c r="S6" s="114" t="s">
        <v>1748</v>
      </c>
      <c r="T6" s="114">
        <v>12</v>
      </c>
      <c r="U6" s="114" t="s">
        <v>1801</v>
      </c>
      <c r="V6" s="114">
        <v>10</v>
      </c>
    </row>
    <row r="7" spans="1:22" ht="15">
      <c r="A7" s="114" t="s">
        <v>1744</v>
      </c>
      <c r="B7" s="114">
        <v>108</v>
      </c>
      <c r="C7" s="114" t="s">
        <v>1744</v>
      </c>
      <c r="D7" s="114">
        <v>33</v>
      </c>
      <c r="E7" s="114" t="s">
        <v>1746</v>
      </c>
      <c r="F7" s="114">
        <v>26</v>
      </c>
      <c r="G7" s="114" t="s">
        <v>1815</v>
      </c>
      <c r="H7" s="114">
        <v>14</v>
      </c>
      <c r="I7" s="114" t="s">
        <v>1744</v>
      </c>
      <c r="J7" s="114">
        <v>27</v>
      </c>
      <c r="K7" s="114" t="s">
        <v>1748</v>
      </c>
      <c r="L7" s="114">
        <v>16</v>
      </c>
      <c r="M7" s="114" t="s">
        <v>1763</v>
      </c>
      <c r="N7" s="114">
        <v>23</v>
      </c>
      <c r="O7" s="114" t="s">
        <v>1745</v>
      </c>
      <c r="P7" s="114">
        <v>10</v>
      </c>
      <c r="Q7" s="114" t="s">
        <v>1747</v>
      </c>
      <c r="R7" s="114">
        <v>5</v>
      </c>
      <c r="S7" s="114" t="s">
        <v>1740</v>
      </c>
      <c r="T7" s="114">
        <v>11</v>
      </c>
      <c r="U7" s="114" t="s">
        <v>1755</v>
      </c>
      <c r="V7" s="114">
        <v>9</v>
      </c>
    </row>
    <row r="8" spans="1:22" ht="15">
      <c r="A8" s="114" t="s">
        <v>1745</v>
      </c>
      <c r="B8" s="114">
        <v>92</v>
      </c>
      <c r="C8" s="114" t="s">
        <v>1762</v>
      </c>
      <c r="D8" s="114">
        <v>29</v>
      </c>
      <c r="E8" s="114" t="s">
        <v>1744</v>
      </c>
      <c r="F8" s="114">
        <v>25</v>
      </c>
      <c r="G8" s="114" t="s">
        <v>1822</v>
      </c>
      <c r="H8" s="114">
        <v>13</v>
      </c>
      <c r="I8" s="114" t="s">
        <v>1756</v>
      </c>
      <c r="J8" s="114">
        <v>26</v>
      </c>
      <c r="K8" s="114" t="s">
        <v>1744</v>
      </c>
      <c r="L8" s="114">
        <v>14</v>
      </c>
      <c r="M8" s="114" t="s">
        <v>1786</v>
      </c>
      <c r="N8" s="114">
        <v>21</v>
      </c>
      <c r="O8" s="114" t="s">
        <v>1884</v>
      </c>
      <c r="P8" s="114">
        <v>10</v>
      </c>
      <c r="Q8" s="114" t="s">
        <v>1945</v>
      </c>
      <c r="R8" s="114">
        <v>5</v>
      </c>
      <c r="S8" s="114" t="s">
        <v>1860</v>
      </c>
      <c r="T8" s="114">
        <v>11</v>
      </c>
      <c r="U8" s="114" t="s">
        <v>1812</v>
      </c>
      <c r="V8" s="114">
        <v>8</v>
      </c>
    </row>
    <row r="9" spans="1:22" ht="15">
      <c r="A9" s="114" t="s">
        <v>1746</v>
      </c>
      <c r="B9" s="114">
        <v>86</v>
      </c>
      <c r="C9" s="114" t="s">
        <v>1753</v>
      </c>
      <c r="D9" s="114">
        <v>23</v>
      </c>
      <c r="E9" s="114" t="s">
        <v>1760</v>
      </c>
      <c r="F9" s="114">
        <v>22</v>
      </c>
      <c r="G9" s="114" t="s">
        <v>1834</v>
      </c>
      <c r="H9" s="114">
        <v>12</v>
      </c>
      <c r="I9" s="114" t="s">
        <v>1749</v>
      </c>
      <c r="J9" s="114">
        <v>19</v>
      </c>
      <c r="K9" s="114" t="s">
        <v>1747</v>
      </c>
      <c r="L9" s="114">
        <v>13</v>
      </c>
      <c r="M9" s="114" t="s">
        <v>1813</v>
      </c>
      <c r="N9" s="114">
        <v>14</v>
      </c>
      <c r="O9" s="114" t="s">
        <v>1749</v>
      </c>
      <c r="P9" s="114">
        <v>10</v>
      </c>
      <c r="Q9" s="114" t="s">
        <v>1814</v>
      </c>
      <c r="R9" s="114">
        <v>5</v>
      </c>
      <c r="S9" s="114" t="s">
        <v>1883</v>
      </c>
      <c r="T9" s="114">
        <v>10</v>
      </c>
      <c r="U9" s="114" t="s">
        <v>1830</v>
      </c>
      <c r="V9" s="114">
        <v>8</v>
      </c>
    </row>
    <row r="10" spans="1:22" ht="15">
      <c r="A10" s="114" t="s">
        <v>1747</v>
      </c>
      <c r="B10" s="114">
        <v>82</v>
      </c>
      <c r="C10" s="114" t="s">
        <v>1747</v>
      </c>
      <c r="D10" s="114">
        <v>22</v>
      </c>
      <c r="E10" s="114" t="s">
        <v>1748</v>
      </c>
      <c r="F10" s="114">
        <v>21</v>
      </c>
      <c r="G10" s="114" t="s">
        <v>1743</v>
      </c>
      <c r="H10" s="114">
        <v>12</v>
      </c>
      <c r="I10" s="114" t="s">
        <v>1746</v>
      </c>
      <c r="J10" s="114">
        <v>16</v>
      </c>
      <c r="K10" s="114" t="s">
        <v>1750</v>
      </c>
      <c r="L10" s="114">
        <v>12</v>
      </c>
      <c r="M10" s="114" t="s">
        <v>1833</v>
      </c>
      <c r="N10" s="114">
        <v>13</v>
      </c>
      <c r="O10" s="114" t="s">
        <v>1755</v>
      </c>
      <c r="P10" s="114">
        <v>8</v>
      </c>
      <c r="Q10" s="114" t="s">
        <v>2106</v>
      </c>
      <c r="R10" s="114">
        <v>4</v>
      </c>
      <c r="S10" s="114" t="s">
        <v>1826</v>
      </c>
      <c r="T10" s="114">
        <v>9</v>
      </c>
      <c r="U10" s="114" t="s">
        <v>1764</v>
      </c>
      <c r="V10" s="114">
        <v>7</v>
      </c>
    </row>
    <row r="11" spans="1:22" ht="15">
      <c r="A11" s="114" t="s">
        <v>1748</v>
      </c>
      <c r="B11" s="114">
        <v>81</v>
      </c>
      <c r="C11" s="114" t="s">
        <v>1759</v>
      </c>
      <c r="D11" s="114">
        <v>19</v>
      </c>
      <c r="E11" s="114" t="s">
        <v>1750</v>
      </c>
      <c r="F11" s="114">
        <v>15</v>
      </c>
      <c r="G11" s="114" t="s">
        <v>1777</v>
      </c>
      <c r="H11" s="114">
        <v>10</v>
      </c>
      <c r="I11" s="114" t="s">
        <v>1751</v>
      </c>
      <c r="J11" s="114">
        <v>14</v>
      </c>
      <c r="K11" s="114" t="s">
        <v>1746</v>
      </c>
      <c r="L11" s="114">
        <v>12</v>
      </c>
      <c r="M11" s="114" t="s">
        <v>1832</v>
      </c>
      <c r="N11" s="114">
        <v>12</v>
      </c>
      <c r="O11" s="114" t="s">
        <v>1929</v>
      </c>
      <c r="P11" s="114">
        <v>8</v>
      </c>
      <c r="Q11" s="114" t="s">
        <v>1817</v>
      </c>
      <c r="R11" s="114">
        <v>4</v>
      </c>
      <c r="S11" s="114" t="s">
        <v>1746</v>
      </c>
      <c r="T11" s="114">
        <v>8</v>
      </c>
      <c r="U11" s="114" t="s">
        <v>1820</v>
      </c>
      <c r="V11" s="114">
        <v>6</v>
      </c>
    </row>
    <row r="14" spans="1:22" ht="15" customHeight="1">
      <c r="A14" s="13" t="s">
        <v>2649</v>
      </c>
      <c r="B14" s="13" t="s">
        <v>2617</v>
      </c>
      <c r="C14" s="13" t="s">
        <v>2660</v>
      </c>
      <c r="D14" s="13" t="s">
        <v>2620</v>
      </c>
      <c r="E14" s="13" t="s">
        <v>2664</v>
      </c>
      <c r="F14" s="13" t="s">
        <v>2622</v>
      </c>
      <c r="G14" s="13" t="s">
        <v>2667</v>
      </c>
      <c r="H14" s="13" t="s">
        <v>2624</v>
      </c>
      <c r="I14" s="13" t="s">
        <v>2677</v>
      </c>
      <c r="J14" s="13" t="s">
        <v>2626</v>
      </c>
      <c r="K14" s="13" t="s">
        <v>2682</v>
      </c>
      <c r="L14" s="13" t="s">
        <v>2628</v>
      </c>
      <c r="M14" s="13" t="s">
        <v>2686</v>
      </c>
      <c r="N14" s="13" t="s">
        <v>2630</v>
      </c>
      <c r="O14" s="13" t="s">
        <v>2697</v>
      </c>
      <c r="P14" s="13" t="s">
        <v>2632</v>
      </c>
      <c r="Q14" s="13" t="s">
        <v>2708</v>
      </c>
      <c r="R14" s="13" t="s">
        <v>2634</v>
      </c>
      <c r="S14" s="13" t="s">
        <v>2719</v>
      </c>
      <c r="T14" s="13" t="s">
        <v>2636</v>
      </c>
      <c r="U14" s="13" t="s">
        <v>2727</v>
      </c>
      <c r="V14" s="13" t="s">
        <v>2637</v>
      </c>
    </row>
    <row r="15" spans="1:22" ht="15">
      <c r="A15" s="114" t="s">
        <v>2650</v>
      </c>
      <c r="B15" s="114">
        <v>231</v>
      </c>
      <c r="C15" s="114" t="s">
        <v>2650</v>
      </c>
      <c r="D15" s="114">
        <v>50</v>
      </c>
      <c r="E15" s="114" t="s">
        <v>2650</v>
      </c>
      <c r="F15" s="114">
        <v>70</v>
      </c>
      <c r="G15" s="114" t="s">
        <v>2668</v>
      </c>
      <c r="H15" s="114">
        <v>12</v>
      </c>
      <c r="I15" s="114" t="s">
        <v>2650</v>
      </c>
      <c r="J15" s="114">
        <v>34</v>
      </c>
      <c r="K15" s="114" t="s">
        <v>2650</v>
      </c>
      <c r="L15" s="114">
        <v>38</v>
      </c>
      <c r="M15" s="114" t="s">
        <v>2687</v>
      </c>
      <c r="N15" s="114">
        <v>13</v>
      </c>
      <c r="O15" s="114" t="s">
        <v>2698</v>
      </c>
      <c r="P15" s="114">
        <v>7</v>
      </c>
      <c r="Q15" s="114" t="s">
        <v>2709</v>
      </c>
      <c r="R15" s="114">
        <v>6</v>
      </c>
      <c r="S15" s="114" t="s">
        <v>2650</v>
      </c>
      <c r="T15" s="114">
        <v>17</v>
      </c>
      <c r="U15" s="114" t="s">
        <v>2701</v>
      </c>
      <c r="V15" s="114">
        <v>15</v>
      </c>
    </row>
    <row r="16" spans="1:22" ht="15">
      <c r="A16" s="114" t="s">
        <v>2651</v>
      </c>
      <c r="B16" s="114">
        <v>65</v>
      </c>
      <c r="C16" s="114" t="s">
        <v>2653</v>
      </c>
      <c r="D16" s="114">
        <v>26</v>
      </c>
      <c r="E16" s="114" t="s">
        <v>2652</v>
      </c>
      <c r="F16" s="114">
        <v>23</v>
      </c>
      <c r="G16" s="114" t="s">
        <v>2669</v>
      </c>
      <c r="H16" s="114">
        <v>12</v>
      </c>
      <c r="I16" s="114" t="s">
        <v>2654</v>
      </c>
      <c r="J16" s="114">
        <v>10</v>
      </c>
      <c r="K16" s="114" t="s">
        <v>2651</v>
      </c>
      <c r="L16" s="114">
        <v>9</v>
      </c>
      <c r="M16" s="114" t="s">
        <v>2688</v>
      </c>
      <c r="N16" s="114">
        <v>13</v>
      </c>
      <c r="O16" s="114" t="s">
        <v>2699</v>
      </c>
      <c r="P16" s="114">
        <v>6</v>
      </c>
      <c r="Q16" s="114" t="s">
        <v>2710</v>
      </c>
      <c r="R16" s="114">
        <v>4</v>
      </c>
      <c r="S16" s="114" t="s">
        <v>2720</v>
      </c>
      <c r="T16" s="114">
        <v>7</v>
      </c>
      <c r="U16" s="114" t="s">
        <v>2651</v>
      </c>
      <c r="V16" s="114">
        <v>11</v>
      </c>
    </row>
    <row r="17" spans="1:22" ht="15">
      <c r="A17" s="114" t="s">
        <v>2652</v>
      </c>
      <c r="B17" s="114">
        <v>60</v>
      </c>
      <c r="C17" s="114" t="s">
        <v>2661</v>
      </c>
      <c r="D17" s="114">
        <v>26</v>
      </c>
      <c r="E17" s="114" t="s">
        <v>2659</v>
      </c>
      <c r="F17" s="114">
        <v>18</v>
      </c>
      <c r="G17" s="114" t="s">
        <v>2650</v>
      </c>
      <c r="H17" s="114">
        <v>12</v>
      </c>
      <c r="I17" s="114" t="s">
        <v>2678</v>
      </c>
      <c r="J17" s="114">
        <v>9</v>
      </c>
      <c r="K17" s="114" t="s">
        <v>2658</v>
      </c>
      <c r="L17" s="114">
        <v>8</v>
      </c>
      <c r="M17" s="114" t="s">
        <v>2689</v>
      </c>
      <c r="N17" s="114">
        <v>13</v>
      </c>
      <c r="O17" s="114" t="s">
        <v>2700</v>
      </c>
      <c r="P17" s="114">
        <v>5</v>
      </c>
      <c r="Q17" s="114" t="s">
        <v>2711</v>
      </c>
      <c r="R17" s="114">
        <v>3</v>
      </c>
      <c r="S17" s="114" t="s">
        <v>2721</v>
      </c>
      <c r="T17" s="114">
        <v>5</v>
      </c>
      <c r="U17" s="114" t="s">
        <v>2728</v>
      </c>
      <c r="V17" s="114">
        <v>8</v>
      </c>
    </row>
    <row r="18" spans="1:22" ht="15">
      <c r="A18" s="114" t="s">
        <v>2653</v>
      </c>
      <c r="B18" s="114">
        <v>45</v>
      </c>
      <c r="C18" s="114" t="s">
        <v>2651</v>
      </c>
      <c r="D18" s="114">
        <v>24</v>
      </c>
      <c r="E18" s="114" t="s">
        <v>2657</v>
      </c>
      <c r="F18" s="114">
        <v>15</v>
      </c>
      <c r="G18" s="114" t="s">
        <v>2670</v>
      </c>
      <c r="H18" s="114">
        <v>12</v>
      </c>
      <c r="I18" s="114" t="s">
        <v>2653</v>
      </c>
      <c r="J18" s="114">
        <v>8</v>
      </c>
      <c r="K18" s="114" t="s">
        <v>2683</v>
      </c>
      <c r="L18" s="114">
        <v>8</v>
      </c>
      <c r="M18" s="114" t="s">
        <v>2690</v>
      </c>
      <c r="N18" s="114">
        <v>12</v>
      </c>
      <c r="O18" s="114" t="s">
        <v>2701</v>
      </c>
      <c r="P18" s="114">
        <v>5</v>
      </c>
      <c r="Q18" s="114" t="s">
        <v>2712</v>
      </c>
      <c r="R18" s="114">
        <v>3</v>
      </c>
      <c r="S18" s="114" t="s">
        <v>2722</v>
      </c>
      <c r="T18" s="114">
        <v>5</v>
      </c>
      <c r="U18" s="114" t="s">
        <v>2698</v>
      </c>
      <c r="V18" s="114">
        <v>6</v>
      </c>
    </row>
    <row r="19" spans="1:22" ht="15">
      <c r="A19" s="114" t="s">
        <v>2654</v>
      </c>
      <c r="B19" s="114">
        <v>43</v>
      </c>
      <c r="C19" s="114" t="s">
        <v>2652</v>
      </c>
      <c r="D19" s="114">
        <v>19</v>
      </c>
      <c r="E19" s="114" t="s">
        <v>2656</v>
      </c>
      <c r="F19" s="114">
        <v>14</v>
      </c>
      <c r="G19" s="114" t="s">
        <v>2671</v>
      </c>
      <c r="H19" s="114">
        <v>8</v>
      </c>
      <c r="I19" s="114" t="s">
        <v>2652</v>
      </c>
      <c r="J19" s="114">
        <v>8</v>
      </c>
      <c r="K19" s="114" t="s">
        <v>2655</v>
      </c>
      <c r="L19" s="114">
        <v>7</v>
      </c>
      <c r="M19" s="114" t="s">
        <v>2691</v>
      </c>
      <c r="N19" s="114">
        <v>12</v>
      </c>
      <c r="O19" s="114" t="s">
        <v>2702</v>
      </c>
      <c r="P19" s="114">
        <v>4</v>
      </c>
      <c r="Q19" s="114" t="s">
        <v>2713</v>
      </c>
      <c r="R19" s="114">
        <v>2</v>
      </c>
      <c r="S19" s="114" t="s">
        <v>2680</v>
      </c>
      <c r="T19" s="114">
        <v>4</v>
      </c>
      <c r="U19" s="114" t="s">
        <v>2729</v>
      </c>
      <c r="V19" s="114">
        <v>6</v>
      </c>
    </row>
    <row r="20" spans="1:22" ht="15">
      <c r="A20" s="114" t="s">
        <v>2655</v>
      </c>
      <c r="B20" s="114">
        <v>36</v>
      </c>
      <c r="C20" s="114" t="s">
        <v>2654</v>
      </c>
      <c r="D20" s="114">
        <v>16</v>
      </c>
      <c r="E20" s="114" t="s">
        <v>2651</v>
      </c>
      <c r="F20" s="114">
        <v>12</v>
      </c>
      <c r="G20" s="114" t="s">
        <v>2672</v>
      </c>
      <c r="H20" s="114">
        <v>7</v>
      </c>
      <c r="I20" s="114" t="s">
        <v>2665</v>
      </c>
      <c r="J20" s="114">
        <v>7</v>
      </c>
      <c r="K20" s="114" t="s">
        <v>2684</v>
      </c>
      <c r="L20" s="114">
        <v>7</v>
      </c>
      <c r="M20" s="114" t="s">
        <v>2692</v>
      </c>
      <c r="N20" s="114">
        <v>12</v>
      </c>
      <c r="O20" s="114" t="s">
        <v>2703</v>
      </c>
      <c r="P20" s="114">
        <v>4</v>
      </c>
      <c r="Q20" s="114" t="s">
        <v>2714</v>
      </c>
      <c r="R20" s="114">
        <v>2</v>
      </c>
      <c r="S20" s="114" t="s">
        <v>2723</v>
      </c>
      <c r="T20" s="114">
        <v>4</v>
      </c>
      <c r="U20" s="114" t="s">
        <v>2730</v>
      </c>
      <c r="V20" s="114">
        <v>6</v>
      </c>
    </row>
    <row r="21" spans="1:22" ht="15">
      <c r="A21" s="114" t="s">
        <v>2656</v>
      </c>
      <c r="B21" s="114">
        <v>36</v>
      </c>
      <c r="C21" s="114" t="s">
        <v>2662</v>
      </c>
      <c r="D21" s="114">
        <v>12</v>
      </c>
      <c r="E21" s="114" t="s">
        <v>2665</v>
      </c>
      <c r="F21" s="114">
        <v>10</v>
      </c>
      <c r="G21" s="114" t="s">
        <v>2673</v>
      </c>
      <c r="H21" s="114">
        <v>6</v>
      </c>
      <c r="I21" s="114" t="s">
        <v>2679</v>
      </c>
      <c r="J21" s="114">
        <v>7</v>
      </c>
      <c r="K21" s="114" t="s">
        <v>2685</v>
      </c>
      <c r="L21" s="114">
        <v>7</v>
      </c>
      <c r="M21" s="114" t="s">
        <v>2693</v>
      </c>
      <c r="N21" s="114">
        <v>11</v>
      </c>
      <c r="O21" s="114" t="s">
        <v>2704</v>
      </c>
      <c r="P21" s="114">
        <v>4</v>
      </c>
      <c r="Q21" s="114" t="s">
        <v>2715</v>
      </c>
      <c r="R21" s="114">
        <v>2</v>
      </c>
      <c r="S21" s="114" t="s">
        <v>2724</v>
      </c>
      <c r="T21" s="114">
        <v>4</v>
      </c>
      <c r="U21" s="114" t="s">
        <v>2731</v>
      </c>
      <c r="V21" s="114">
        <v>6</v>
      </c>
    </row>
    <row r="22" spans="1:22" ht="15">
      <c r="A22" s="114" t="s">
        <v>2657</v>
      </c>
      <c r="B22" s="114">
        <v>32</v>
      </c>
      <c r="C22" s="114" t="s">
        <v>2656</v>
      </c>
      <c r="D22" s="114">
        <v>11</v>
      </c>
      <c r="E22" s="114" t="s">
        <v>2654</v>
      </c>
      <c r="F22" s="114">
        <v>9</v>
      </c>
      <c r="G22" s="114" t="s">
        <v>2674</v>
      </c>
      <c r="H22" s="114">
        <v>5</v>
      </c>
      <c r="I22" s="114" t="s">
        <v>2680</v>
      </c>
      <c r="J22" s="114">
        <v>6</v>
      </c>
      <c r="K22" s="114" t="s">
        <v>2680</v>
      </c>
      <c r="L22" s="114">
        <v>6</v>
      </c>
      <c r="M22" s="114" t="s">
        <v>2694</v>
      </c>
      <c r="N22" s="114">
        <v>11</v>
      </c>
      <c r="O22" s="114" t="s">
        <v>2705</v>
      </c>
      <c r="P22" s="114">
        <v>4</v>
      </c>
      <c r="Q22" s="114" t="s">
        <v>2716</v>
      </c>
      <c r="R22" s="114">
        <v>2</v>
      </c>
      <c r="S22" s="114" t="s">
        <v>2651</v>
      </c>
      <c r="T22" s="114">
        <v>4</v>
      </c>
      <c r="U22" s="114" t="s">
        <v>2732</v>
      </c>
      <c r="V22" s="114">
        <v>6</v>
      </c>
    </row>
    <row r="23" spans="1:22" ht="15">
      <c r="A23" s="114" t="s">
        <v>2658</v>
      </c>
      <c r="B23" s="114">
        <v>31</v>
      </c>
      <c r="C23" s="114" t="s">
        <v>2655</v>
      </c>
      <c r="D23" s="114">
        <v>11</v>
      </c>
      <c r="E23" s="114" t="s">
        <v>2655</v>
      </c>
      <c r="F23" s="114">
        <v>9</v>
      </c>
      <c r="G23" s="114" t="s">
        <v>2675</v>
      </c>
      <c r="H23" s="114">
        <v>4</v>
      </c>
      <c r="I23" s="114" t="s">
        <v>2655</v>
      </c>
      <c r="J23" s="114">
        <v>5</v>
      </c>
      <c r="K23" s="114" t="s">
        <v>2652</v>
      </c>
      <c r="L23" s="114">
        <v>6</v>
      </c>
      <c r="M23" s="114" t="s">
        <v>2695</v>
      </c>
      <c r="N23" s="114">
        <v>10</v>
      </c>
      <c r="O23" s="114" t="s">
        <v>2706</v>
      </c>
      <c r="P23" s="114">
        <v>4</v>
      </c>
      <c r="Q23" s="114" t="s">
        <v>2717</v>
      </c>
      <c r="R23" s="114">
        <v>2</v>
      </c>
      <c r="S23" s="114" t="s">
        <v>2725</v>
      </c>
      <c r="T23" s="114">
        <v>4</v>
      </c>
      <c r="U23" s="114" t="s">
        <v>2733</v>
      </c>
      <c r="V23" s="114">
        <v>5</v>
      </c>
    </row>
    <row r="24" spans="1:22" ht="15">
      <c r="A24" s="114" t="s">
        <v>2659</v>
      </c>
      <c r="B24" s="114">
        <v>31</v>
      </c>
      <c r="C24" s="114" t="s">
        <v>2663</v>
      </c>
      <c r="D24" s="114">
        <v>11</v>
      </c>
      <c r="E24" s="114" t="s">
        <v>2666</v>
      </c>
      <c r="F24" s="114">
        <v>9</v>
      </c>
      <c r="G24" s="114" t="s">
        <v>2676</v>
      </c>
      <c r="H24" s="114">
        <v>4</v>
      </c>
      <c r="I24" s="114" t="s">
        <v>2681</v>
      </c>
      <c r="J24" s="114">
        <v>5</v>
      </c>
      <c r="K24" s="114" t="s">
        <v>2678</v>
      </c>
      <c r="L24" s="114">
        <v>6</v>
      </c>
      <c r="M24" s="114" t="s">
        <v>2696</v>
      </c>
      <c r="N24" s="114">
        <v>10</v>
      </c>
      <c r="O24" s="114" t="s">
        <v>2707</v>
      </c>
      <c r="P24" s="114">
        <v>4</v>
      </c>
      <c r="Q24" s="114" t="s">
        <v>2718</v>
      </c>
      <c r="R24" s="114">
        <v>2</v>
      </c>
      <c r="S24" s="114" t="s">
        <v>2726</v>
      </c>
      <c r="T24" s="114">
        <v>4</v>
      </c>
      <c r="U24" s="114" t="s">
        <v>2734</v>
      </c>
      <c r="V24" s="114">
        <v>5</v>
      </c>
    </row>
  </sheetData>
  <printOptions/>
  <pageMargins left="0.7" right="0.7" top="0.75" bottom="0.75" header="0.3" footer="0.3"/>
  <pageSetup orientation="portrait" paperSize="9"/>
  <tableParts>
    <tablePart r:id="rId2"/>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282"/>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7.28125" style="2" bestFit="1" customWidth="1"/>
    <col min="31" max="31" width="13.421875" style="3" bestFit="1" customWidth="1"/>
    <col min="32" max="32" width="7.140625" style="3" bestFit="1" customWidth="1"/>
    <col min="33" max="33" width="9.421875" style="3" bestFit="1" customWidth="1"/>
    <col min="34" max="34" width="14.8515625" style="3" bestFit="1" customWidth="1"/>
    <col min="35" max="35" width="7.8515625" style="0" bestFit="1" customWidth="1"/>
    <col min="36" max="36" width="12.8515625" style="0" bestFit="1" customWidth="1"/>
    <col min="37" max="37" width="13.421875" style="0" bestFit="1" customWidth="1"/>
    <col min="38" max="38" width="10.140625" style="0" bestFit="1" customWidth="1"/>
    <col min="39" max="40" width="15.7109375" style="0" bestFit="1" customWidth="1"/>
    <col min="41" max="41" width="9.7109375" style="0" bestFit="1" customWidth="1"/>
    <col min="42" max="42" width="19.7109375" style="0" bestFit="1" customWidth="1"/>
    <col min="43" max="43" width="24.28125" style="0" bestFit="1" customWidth="1"/>
    <col min="44" max="44" width="19.7109375" style="0" bestFit="1" customWidth="1"/>
    <col min="45" max="45" width="24.28125" style="0" bestFit="1" customWidth="1"/>
    <col min="46" max="46" width="19.7109375" style="0" bestFit="1" customWidth="1"/>
    <col min="47" max="47" width="24.28125" style="0" bestFit="1" customWidth="1"/>
    <col min="48" max="48" width="18.57421875" style="0" bestFit="1" customWidth="1"/>
    <col min="49" max="49" width="22.28125" style="0" bestFit="1" customWidth="1"/>
    <col min="50" max="50" width="17.421875" style="0" bestFit="1" customWidth="1"/>
    <col min="51" max="51" width="15.57421875" style="0" bestFit="1" customWidth="1"/>
    <col min="52" max="53" width="17.7109375" style="0" bestFit="1" customWidth="1"/>
    <col min="54" max="54" width="19.281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56"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495</v>
      </c>
      <c r="AE2" s="13" t="s">
        <v>496</v>
      </c>
      <c r="AF2" s="13" t="s">
        <v>497</v>
      </c>
      <c r="AG2" s="13" t="s">
        <v>498</v>
      </c>
      <c r="AH2" s="13" t="s">
        <v>499</v>
      </c>
      <c r="AI2" s="13" t="s">
        <v>500</v>
      </c>
      <c r="AJ2" s="13" t="s">
        <v>501</v>
      </c>
      <c r="AK2" s="13" t="s">
        <v>502</v>
      </c>
      <c r="AL2" s="13" t="s">
        <v>503</v>
      </c>
      <c r="AM2" s="13" t="s">
        <v>504</v>
      </c>
      <c r="AN2" s="13" t="s">
        <v>505</v>
      </c>
      <c r="AO2" s="13" t="s">
        <v>1727</v>
      </c>
      <c r="AP2" s="117" t="s">
        <v>2572</v>
      </c>
      <c r="AQ2" s="117" t="s">
        <v>2573</v>
      </c>
      <c r="AR2" s="117" t="s">
        <v>2574</v>
      </c>
      <c r="AS2" s="117" t="s">
        <v>2575</v>
      </c>
      <c r="AT2" s="117" t="s">
        <v>2576</v>
      </c>
      <c r="AU2" s="117" t="s">
        <v>2577</v>
      </c>
      <c r="AV2" s="117" t="s">
        <v>2578</v>
      </c>
      <c r="AW2" s="117" t="s">
        <v>2579</v>
      </c>
      <c r="AX2" s="117" t="s">
        <v>2581</v>
      </c>
      <c r="AY2" s="117" t="s">
        <v>2746</v>
      </c>
      <c r="AZ2" s="117" t="s">
        <v>2748</v>
      </c>
      <c r="BA2" s="117" t="s">
        <v>2749</v>
      </c>
      <c r="BB2" s="117" t="s">
        <v>2750</v>
      </c>
      <c r="BC2" s="3"/>
      <c r="BD2" s="3"/>
    </row>
    <row r="3" spans="1:56" ht="15" customHeight="1">
      <c r="A3" s="65" t="s">
        <v>214</v>
      </c>
      <c r="B3" s="66"/>
      <c r="C3" s="66"/>
      <c r="D3" s="67">
        <v>83.55065258451366</v>
      </c>
      <c r="E3" s="69"/>
      <c r="F3" s="98" t="str">
        <f>HYPERLINK("https://i.ytimg.com/vi/4Zcoz_c8dYc/default.jpg")</f>
        <v>https://i.ytimg.com/vi/4Zcoz_c8dYc/default.jpg</v>
      </c>
      <c r="G3" s="66"/>
      <c r="H3" s="70" t="s">
        <v>523</v>
      </c>
      <c r="I3" s="71"/>
      <c r="J3" s="71" t="s">
        <v>159</v>
      </c>
      <c r="K3" s="70" t="s">
        <v>523</v>
      </c>
      <c r="L3" s="74">
        <v>1</v>
      </c>
      <c r="M3" s="75">
        <v>5605.4111328125</v>
      </c>
      <c r="N3" s="75">
        <v>7838.80078125</v>
      </c>
      <c r="O3" s="76"/>
      <c r="P3" s="77"/>
      <c r="Q3" s="77"/>
      <c r="R3" s="48"/>
      <c r="S3" s="48">
        <v>0</v>
      </c>
      <c r="T3" s="48">
        <v>20</v>
      </c>
      <c r="U3" s="49">
        <v>21892.094242</v>
      </c>
      <c r="V3" s="49">
        <v>0.001057</v>
      </c>
      <c r="W3" s="49">
        <v>0.008641</v>
      </c>
      <c r="X3" s="49">
        <v>7.180816</v>
      </c>
      <c r="Y3" s="49">
        <v>0.007894736842105263</v>
      </c>
      <c r="Z3" s="49">
        <v>0</v>
      </c>
      <c r="AA3" s="72">
        <v>3</v>
      </c>
      <c r="AB3" s="72"/>
      <c r="AC3" s="73"/>
      <c r="AD3" s="88" t="s">
        <v>523</v>
      </c>
      <c r="AE3" s="88" t="s">
        <v>1059</v>
      </c>
      <c r="AF3" s="88"/>
      <c r="AG3" s="88" t="s">
        <v>1308</v>
      </c>
      <c r="AH3" s="88" t="s">
        <v>1704</v>
      </c>
      <c r="AI3" s="88">
        <v>32843</v>
      </c>
      <c r="AJ3" s="88">
        <v>0</v>
      </c>
      <c r="AK3" s="88">
        <v>421</v>
      </c>
      <c r="AL3" s="88">
        <v>633</v>
      </c>
      <c r="AM3" s="88" t="s">
        <v>1705</v>
      </c>
      <c r="AN3" s="100" t="str">
        <f>HYPERLINK("https://www.youtube.com/watch?v=4Zcoz_c8dYc")</f>
        <v>https://www.youtube.com/watch?v=4Zcoz_c8dYc</v>
      </c>
      <c r="AO3" s="88" t="str">
        <f>REPLACE(INDEX(GroupVertices[Group],MATCH(Vertices[[#This Row],[Vertex]],GroupVertices[Vertex],0)),1,1,"")</f>
        <v>3</v>
      </c>
      <c r="AP3" s="48"/>
      <c r="AQ3" s="49"/>
      <c r="AR3" s="48"/>
      <c r="AS3" s="49"/>
      <c r="AT3" s="48"/>
      <c r="AU3" s="49"/>
      <c r="AV3" s="48"/>
      <c r="AW3" s="49"/>
      <c r="AX3" s="48"/>
      <c r="AY3" s="121" t="s">
        <v>2747</v>
      </c>
      <c r="AZ3" s="121" t="s">
        <v>2747</v>
      </c>
      <c r="BA3" s="121" t="s">
        <v>2747</v>
      </c>
      <c r="BB3" s="121" t="s">
        <v>2747</v>
      </c>
      <c r="BC3" s="3"/>
      <c r="BD3" s="3"/>
    </row>
    <row r="4" spans="1:59" ht="15">
      <c r="A4" s="65" t="s">
        <v>493</v>
      </c>
      <c r="B4" s="66"/>
      <c r="C4" s="66"/>
      <c r="D4" s="67">
        <v>106.88639242534487</v>
      </c>
      <c r="E4" s="69"/>
      <c r="F4" s="98" t="str">
        <f>HYPERLINK("https://i.ytimg.com/vi/sEbcs37aaI0/default.jpg")</f>
        <v>https://i.ytimg.com/vi/sEbcs37aaI0/default.jpg</v>
      </c>
      <c r="G4" s="66"/>
      <c r="H4" s="70" t="s">
        <v>506</v>
      </c>
      <c r="I4" s="71"/>
      <c r="J4" s="71" t="s">
        <v>159</v>
      </c>
      <c r="K4" s="70" t="s">
        <v>506</v>
      </c>
      <c r="L4" s="74">
        <v>909.9090909090909</v>
      </c>
      <c r="M4" s="75">
        <v>6413.42431640625</v>
      </c>
      <c r="N4" s="75">
        <v>7709.32568359375</v>
      </c>
      <c r="O4" s="76"/>
      <c r="P4" s="77"/>
      <c r="Q4" s="77"/>
      <c r="R4" s="91"/>
      <c r="S4" s="48">
        <v>1</v>
      </c>
      <c r="T4" s="48">
        <v>0</v>
      </c>
      <c r="U4" s="49">
        <v>0</v>
      </c>
      <c r="V4" s="49">
        <v>0.000817</v>
      </c>
      <c r="W4" s="49">
        <v>0.00087</v>
      </c>
      <c r="X4" s="49">
        <v>0.455185</v>
      </c>
      <c r="Y4" s="49">
        <v>0</v>
      </c>
      <c r="Z4" s="49">
        <v>0</v>
      </c>
      <c r="AA4" s="72">
        <v>4</v>
      </c>
      <c r="AB4" s="72"/>
      <c r="AC4" s="73"/>
      <c r="AD4" s="88" t="s">
        <v>506</v>
      </c>
      <c r="AE4" s="88" t="s">
        <v>785</v>
      </c>
      <c r="AF4" s="88" t="s">
        <v>1060</v>
      </c>
      <c r="AG4" s="88" t="s">
        <v>1305</v>
      </c>
      <c r="AH4" s="88" t="s">
        <v>1425</v>
      </c>
      <c r="AI4" s="88">
        <v>248143</v>
      </c>
      <c r="AJ4" s="88">
        <v>1520</v>
      </c>
      <c r="AK4" s="88">
        <v>7272</v>
      </c>
      <c r="AL4" s="88">
        <v>281</v>
      </c>
      <c r="AM4" s="88" t="s">
        <v>1705</v>
      </c>
      <c r="AN4" s="100" t="str">
        <f>HYPERLINK("https://www.youtube.com/watch?v=sEbcs37aaI0")</f>
        <v>https://www.youtube.com/watch?v=sEbcs37aaI0</v>
      </c>
      <c r="AO4" s="88" t="str">
        <f>REPLACE(INDEX(GroupVertices[Group],MATCH(Vertices[[#This Row],[Vertex]],GroupVertices[Vertex],0)),1,1,"")</f>
        <v>3</v>
      </c>
      <c r="AP4" s="48">
        <v>1</v>
      </c>
      <c r="AQ4" s="49">
        <v>25</v>
      </c>
      <c r="AR4" s="48">
        <v>0</v>
      </c>
      <c r="AS4" s="49">
        <v>0</v>
      </c>
      <c r="AT4" s="48">
        <v>0</v>
      </c>
      <c r="AU4" s="49">
        <v>0</v>
      </c>
      <c r="AV4" s="48">
        <v>3</v>
      </c>
      <c r="AW4" s="49">
        <v>75</v>
      </c>
      <c r="AX4" s="48">
        <v>4</v>
      </c>
      <c r="AY4" s="48"/>
      <c r="AZ4" s="48"/>
      <c r="BA4" s="48"/>
      <c r="BB4" s="48"/>
      <c r="BC4" s="2"/>
      <c r="BD4" s="3"/>
      <c r="BE4" s="3"/>
      <c r="BF4" s="3"/>
      <c r="BG4" s="3"/>
    </row>
    <row r="5" spans="1:59" ht="15">
      <c r="A5" s="65" t="s">
        <v>234</v>
      </c>
      <c r="B5" s="66"/>
      <c r="C5" s="66"/>
      <c r="D5" s="67">
        <v>81.43081793608367</v>
      </c>
      <c r="E5" s="69"/>
      <c r="F5" s="98" t="str">
        <f>HYPERLINK("https://i.ytimg.com/vi/YSbwguKkuD8/default.jpg")</f>
        <v>https://i.ytimg.com/vi/YSbwguKkuD8/default.jpg</v>
      </c>
      <c r="G5" s="66"/>
      <c r="H5" s="70" t="s">
        <v>507</v>
      </c>
      <c r="I5" s="71"/>
      <c r="J5" s="71" t="s">
        <v>159</v>
      </c>
      <c r="K5" s="70" t="s">
        <v>507</v>
      </c>
      <c r="L5" s="74">
        <v>909.9090909090909</v>
      </c>
      <c r="M5" s="75">
        <v>5443.90087890625</v>
      </c>
      <c r="N5" s="75">
        <v>7120.771484375</v>
      </c>
      <c r="O5" s="76"/>
      <c r="P5" s="77"/>
      <c r="Q5" s="77"/>
      <c r="R5" s="91"/>
      <c r="S5" s="48">
        <v>1</v>
      </c>
      <c r="T5" s="48">
        <v>0</v>
      </c>
      <c r="U5" s="49">
        <v>0</v>
      </c>
      <c r="V5" s="49">
        <v>0.000817</v>
      </c>
      <c r="W5" s="49">
        <v>0.00087</v>
      </c>
      <c r="X5" s="49">
        <v>0.455185</v>
      </c>
      <c r="Y5" s="49">
        <v>0</v>
      </c>
      <c r="Z5" s="49">
        <v>0</v>
      </c>
      <c r="AA5" s="72">
        <v>5</v>
      </c>
      <c r="AB5" s="72"/>
      <c r="AC5" s="73"/>
      <c r="AD5" s="88" t="s">
        <v>507</v>
      </c>
      <c r="AE5" s="88"/>
      <c r="AF5" s="88"/>
      <c r="AG5" s="88" t="s">
        <v>1306</v>
      </c>
      <c r="AH5" s="88" t="s">
        <v>1426</v>
      </c>
      <c r="AI5" s="88">
        <v>13285</v>
      </c>
      <c r="AJ5" s="88">
        <v>121</v>
      </c>
      <c r="AK5" s="88">
        <v>271</v>
      </c>
      <c r="AL5" s="88">
        <v>138</v>
      </c>
      <c r="AM5" s="88" t="s">
        <v>1705</v>
      </c>
      <c r="AN5" s="100" t="str">
        <f>HYPERLINK("https://www.youtube.com/watch?v=YSbwguKkuD8")</f>
        <v>https://www.youtube.com/watch?v=YSbwguKkuD8</v>
      </c>
      <c r="AO5" s="88" t="str">
        <f>REPLACE(INDEX(GroupVertices[Group],MATCH(Vertices[[#This Row],[Vertex]],GroupVertices[Vertex],0)),1,1,"")</f>
        <v>3</v>
      </c>
      <c r="AP5" s="48"/>
      <c r="AQ5" s="49"/>
      <c r="AR5" s="48"/>
      <c r="AS5" s="49"/>
      <c r="AT5" s="48"/>
      <c r="AU5" s="49"/>
      <c r="AV5" s="48"/>
      <c r="AW5" s="49"/>
      <c r="AX5" s="48"/>
      <c r="AY5" s="48"/>
      <c r="AZ5" s="48"/>
      <c r="BA5" s="48"/>
      <c r="BB5" s="48"/>
      <c r="BC5" s="2"/>
      <c r="BD5" s="3"/>
      <c r="BE5" s="3"/>
      <c r="BF5" s="3"/>
      <c r="BG5" s="3"/>
    </row>
    <row r="6" spans="1:59" ht="15">
      <c r="A6" s="65" t="s">
        <v>235</v>
      </c>
      <c r="B6" s="66"/>
      <c r="C6" s="66"/>
      <c r="D6" s="67">
        <v>80.76087735105729</v>
      </c>
      <c r="E6" s="69"/>
      <c r="F6" s="98" t="str">
        <f>HYPERLINK("https://i.ytimg.com/vi/Wrmk5osNCOg/default.jpg")</f>
        <v>https://i.ytimg.com/vi/Wrmk5osNCOg/default.jpg</v>
      </c>
      <c r="G6" s="66"/>
      <c r="H6" s="70" t="s">
        <v>508</v>
      </c>
      <c r="I6" s="71"/>
      <c r="J6" s="71" t="s">
        <v>159</v>
      </c>
      <c r="K6" s="70" t="s">
        <v>508</v>
      </c>
      <c r="L6" s="74">
        <v>909.9090909090909</v>
      </c>
      <c r="M6" s="75">
        <v>6598.9072265625</v>
      </c>
      <c r="N6" s="75">
        <v>8173.49072265625</v>
      </c>
      <c r="O6" s="76"/>
      <c r="P6" s="77"/>
      <c r="Q6" s="77"/>
      <c r="R6" s="91"/>
      <c r="S6" s="48">
        <v>1</v>
      </c>
      <c r="T6" s="48">
        <v>0</v>
      </c>
      <c r="U6" s="49">
        <v>0</v>
      </c>
      <c r="V6" s="49">
        <v>0.000817</v>
      </c>
      <c r="W6" s="49">
        <v>0.00087</v>
      </c>
      <c r="X6" s="49">
        <v>0.455185</v>
      </c>
      <c r="Y6" s="49">
        <v>0</v>
      </c>
      <c r="Z6" s="49">
        <v>0</v>
      </c>
      <c r="AA6" s="72">
        <v>6</v>
      </c>
      <c r="AB6" s="72"/>
      <c r="AC6" s="73"/>
      <c r="AD6" s="88" t="s">
        <v>508</v>
      </c>
      <c r="AE6" s="88" t="s">
        <v>786</v>
      </c>
      <c r="AF6" s="88" t="s">
        <v>1061</v>
      </c>
      <c r="AG6" s="88" t="s">
        <v>1307</v>
      </c>
      <c r="AH6" s="88" t="s">
        <v>1427</v>
      </c>
      <c r="AI6" s="88">
        <v>7104</v>
      </c>
      <c r="AJ6" s="88">
        <v>78</v>
      </c>
      <c r="AK6" s="88">
        <v>519</v>
      </c>
      <c r="AL6" s="88">
        <v>9</v>
      </c>
      <c r="AM6" s="88" t="s">
        <v>1705</v>
      </c>
      <c r="AN6" s="100" t="str">
        <f>HYPERLINK("https://www.youtube.com/watch?v=Wrmk5osNCOg")</f>
        <v>https://www.youtube.com/watch?v=Wrmk5osNCOg</v>
      </c>
      <c r="AO6" s="88" t="str">
        <f>REPLACE(INDEX(GroupVertices[Group],MATCH(Vertices[[#This Row],[Vertex]],GroupVertices[Vertex],0)),1,1,"")</f>
        <v>3</v>
      </c>
      <c r="AP6" s="48">
        <v>2</v>
      </c>
      <c r="AQ6" s="49">
        <v>2.857142857142857</v>
      </c>
      <c r="AR6" s="48">
        <v>1</v>
      </c>
      <c r="AS6" s="49">
        <v>1.4285714285714286</v>
      </c>
      <c r="AT6" s="48">
        <v>0</v>
      </c>
      <c r="AU6" s="49">
        <v>0</v>
      </c>
      <c r="AV6" s="48">
        <v>67</v>
      </c>
      <c r="AW6" s="49">
        <v>95.71428571428571</v>
      </c>
      <c r="AX6" s="48">
        <v>70</v>
      </c>
      <c r="AY6" s="48"/>
      <c r="AZ6" s="48"/>
      <c r="BA6" s="48"/>
      <c r="BB6" s="48"/>
      <c r="BC6" s="2"/>
      <c r="BD6" s="3"/>
      <c r="BE6" s="3"/>
      <c r="BF6" s="3"/>
      <c r="BG6" s="3"/>
    </row>
    <row r="7" spans="1:59" ht="15">
      <c r="A7" s="65" t="s">
        <v>236</v>
      </c>
      <c r="B7" s="66"/>
      <c r="C7" s="66"/>
      <c r="D7" s="67">
        <v>80.040753544729</v>
      </c>
      <c r="E7" s="69"/>
      <c r="F7" s="98" t="str">
        <f>HYPERLINK("https://i.ytimg.com/vi/fG-td1DwZMw/default.jpg")</f>
        <v>https://i.ytimg.com/vi/fG-td1DwZMw/default.jpg</v>
      </c>
      <c r="G7" s="66"/>
      <c r="H7" s="70" t="s">
        <v>509</v>
      </c>
      <c r="I7" s="71"/>
      <c r="J7" s="71" t="s">
        <v>159</v>
      </c>
      <c r="K7" s="70" t="s">
        <v>509</v>
      </c>
      <c r="L7" s="74">
        <v>909.9090909090909</v>
      </c>
      <c r="M7" s="75">
        <v>5099.7021484375</v>
      </c>
      <c r="N7" s="75">
        <v>6718.9814453125</v>
      </c>
      <c r="O7" s="76"/>
      <c r="P7" s="77"/>
      <c r="Q7" s="77"/>
      <c r="R7" s="91"/>
      <c r="S7" s="48">
        <v>1</v>
      </c>
      <c r="T7" s="48">
        <v>0</v>
      </c>
      <c r="U7" s="49">
        <v>0</v>
      </c>
      <c r="V7" s="49">
        <v>0.000817</v>
      </c>
      <c r="W7" s="49">
        <v>0.00087</v>
      </c>
      <c r="X7" s="49">
        <v>0.455185</v>
      </c>
      <c r="Y7" s="49">
        <v>0</v>
      </c>
      <c r="Z7" s="49">
        <v>0</v>
      </c>
      <c r="AA7" s="72">
        <v>7</v>
      </c>
      <c r="AB7" s="72"/>
      <c r="AC7" s="73"/>
      <c r="AD7" s="88" t="s">
        <v>509</v>
      </c>
      <c r="AE7" s="88" t="s">
        <v>787</v>
      </c>
      <c r="AF7" s="88" t="s">
        <v>1062</v>
      </c>
      <c r="AG7" s="88" t="s">
        <v>1308</v>
      </c>
      <c r="AH7" s="88" t="s">
        <v>1428</v>
      </c>
      <c r="AI7" s="88">
        <v>460</v>
      </c>
      <c r="AJ7" s="88">
        <v>0</v>
      </c>
      <c r="AK7" s="88">
        <v>0</v>
      </c>
      <c r="AL7" s="88">
        <v>0</v>
      </c>
      <c r="AM7" s="88" t="s">
        <v>1705</v>
      </c>
      <c r="AN7" s="100" t="str">
        <f>HYPERLINK("https://www.youtube.com/watch?v=fG-td1DwZMw")</f>
        <v>https://www.youtube.com/watch?v=fG-td1DwZMw</v>
      </c>
      <c r="AO7" s="88" t="str">
        <f>REPLACE(INDEX(GroupVertices[Group],MATCH(Vertices[[#This Row],[Vertex]],GroupVertices[Vertex],0)),1,1,"")</f>
        <v>3</v>
      </c>
      <c r="AP7" s="48">
        <v>0</v>
      </c>
      <c r="AQ7" s="49">
        <v>0</v>
      </c>
      <c r="AR7" s="48">
        <v>0</v>
      </c>
      <c r="AS7" s="49">
        <v>0</v>
      </c>
      <c r="AT7" s="48">
        <v>0</v>
      </c>
      <c r="AU7" s="49">
        <v>0</v>
      </c>
      <c r="AV7" s="48">
        <v>2</v>
      </c>
      <c r="AW7" s="49">
        <v>100</v>
      </c>
      <c r="AX7" s="48">
        <v>2</v>
      </c>
      <c r="AY7" s="48"/>
      <c r="AZ7" s="48"/>
      <c r="BA7" s="48"/>
      <c r="BB7" s="48"/>
      <c r="BC7" s="2"/>
      <c r="BD7" s="3"/>
      <c r="BE7" s="3"/>
      <c r="BF7" s="3"/>
      <c r="BG7" s="3"/>
    </row>
    <row r="8" spans="1:59" ht="15">
      <c r="A8" s="65" t="s">
        <v>237</v>
      </c>
      <c r="B8" s="66"/>
      <c r="C8" s="66"/>
      <c r="D8" s="67">
        <v>81.89839982959666</v>
      </c>
      <c r="E8" s="69"/>
      <c r="F8" s="98" t="str">
        <f>HYPERLINK("https://i.ytimg.com/vi/mgyCniF9yBw/default.jpg")</f>
        <v>https://i.ytimg.com/vi/mgyCniF9yBw/default.jpg</v>
      </c>
      <c r="G8" s="66"/>
      <c r="H8" s="70" t="s">
        <v>510</v>
      </c>
      <c r="I8" s="71"/>
      <c r="J8" s="71" t="s">
        <v>159</v>
      </c>
      <c r="K8" s="70" t="s">
        <v>510</v>
      </c>
      <c r="L8" s="74">
        <v>909.9090909090909</v>
      </c>
      <c r="M8" s="75">
        <v>5592.02880859375</v>
      </c>
      <c r="N8" s="75">
        <v>6731.62060546875</v>
      </c>
      <c r="O8" s="76"/>
      <c r="P8" s="77"/>
      <c r="Q8" s="77"/>
      <c r="R8" s="91"/>
      <c r="S8" s="48">
        <v>1</v>
      </c>
      <c r="T8" s="48">
        <v>0</v>
      </c>
      <c r="U8" s="49">
        <v>0</v>
      </c>
      <c r="V8" s="49">
        <v>0.000817</v>
      </c>
      <c r="W8" s="49">
        <v>0.00087</v>
      </c>
      <c r="X8" s="49">
        <v>0.455185</v>
      </c>
      <c r="Y8" s="49">
        <v>0</v>
      </c>
      <c r="Z8" s="49">
        <v>0</v>
      </c>
      <c r="AA8" s="72">
        <v>8</v>
      </c>
      <c r="AB8" s="72"/>
      <c r="AC8" s="73"/>
      <c r="AD8" s="88" t="s">
        <v>510</v>
      </c>
      <c r="AE8" s="88" t="s">
        <v>788</v>
      </c>
      <c r="AF8" s="88" t="s">
        <v>1063</v>
      </c>
      <c r="AG8" s="88" t="s">
        <v>1306</v>
      </c>
      <c r="AH8" s="88" t="s">
        <v>1429</v>
      </c>
      <c r="AI8" s="88">
        <v>17599</v>
      </c>
      <c r="AJ8" s="88">
        <v>128</v>
      </c>
      <c r="AK8" s="88">
        <v>291</v>
      </c>
      <c r="AL8" s="88">
        <v>104</v>
      </c>
      <c r="AM8" s="88" t="s">
        <v>1705</v>
      </c>
      <c r="AN8" s="100" t="str">
        <f>HYPERLINK("https://www.youtube.com/watch?v=mgyCniF9yBw")</f>
        <v>https://www.youtube.com/watch?v=mgyCniF9yBw</v>
      </c>
      <c r="AO8" s="88" t="str">
        <f>REPLACE(INDEX(GroupVertices[Group],MATCH(Vertices[[#This Row],[Vertex]],GroupVertices[Vertex],0)),1,1,"")</f>
        <v>3</v>
      </c>
      <c r="AP8" s="48">
        <v>0</v>
      </c>
      <c r="AQ8" s="49">
        <v>0</v>
      </c>
      <c r="AR8" s="48">
        <v>1</v>
      </c>
      <c r="AS8" s="49">
        <v>16.666666666666668</v>
      </c>
      <c r="AT8" s="48">
        <v>0</v>
      </c>
      <c r="AU8" s="49">
        <v>0</v>
      </c>
      <c r="AV8" s="48">
        <v>5</v>
      </c>
      <c r="AW8" s="49">
        <v>83.33333333333333</v>
      </c>
      <c r="AX8" s="48">
        <v>6</v>
      </c>
      <c r="AY8" s="48"/>
      <c r="AZ8" s="48"/>
      <c r="BA8" s="48"/>
      <c r="BB8" s="48"/>
      <c r="BC8" s="2"/>
      <c r="BD8" s="3"/>
      <c r="BE8" s="3"/>
      <c r="BF8" s="3"/>
      <c r="BG8" s="3"/>
    </row>
    <row r="9" spans="1:59" ht="15">
      <c r="A9" s="65" t="s">
        <v>238</v>
      </c>
      <c r="B9" s="66"/>
      <c r="C9" s="66"/>
      <c r="D9" s="67">
        <v>80</v>
      </c>
      <c r="E9" s="69"/>
      <c r="F9" s="98" t="str">
        <f>HYPERLINK("https://i.ytimg.com/vi/cIk9b2gcUqY/default.jpg")</f>
        <v>https://i.ytimg.com/vi/cIk9b2gcUqY/default.jpg</v>
      </c>
      <c r="G9" s="66"/>
      <c r="H9" s="70" t="s">
        <v>511</v>
      </c>
      <c r="I9" s="71"/>
      <c r="J9" s="71" t="s">
        <v>159</v>
      </c>
      <c r="K9" s="70" t="s">
        <v>511</v>
      </c>
      <c r="L9" s="74">
        <v>909.9090909090909</v>
      </c>
      <c r="M9" s="75">
        <v>6045.85302734375</v>
      </c>
      <c r="N9" s="75">
        <v>6851.28271484375</v>
      </c>
      <c r="O9" s="76"/>
      <c r="P9" s="77"/>
      <c r="Q9" s="77"/>
      <c r="R9" s="91"/>
      <c r="S9" s="48">
        <v>1</v>
      </c>
      <c r="T9" s="48">
        <v>0</v>
      </c>
      <c r="U9" s="49">
        <v>0</v>
      </c>
      <c r="V9" s="49">
        <v>0.000817</v>
      </c>
      <c r="W9" s="49">
        <v>0.00087</v>
      </c>
      <c r="X9" s="49">
        <v>0.455185</v>
      </c>
      <c r="Y9" s="49">
        <v>0</v>
      </c>
      <c r="Z9" s="49">
        <v>0</v>
      </c>
      <c r="AA9" s="72">
        <v>9</v>
      </c>
      <c r="AB9" s="72"/>
      <c r="AC9" s="73"/>
      <c r="AD9" s="88" t="s">
        <v>511</v>
      </c>
      <c r="AE9" s="88" t="s">
        <v>789</v>
      </c>
      <c r="AF9" s="88" t="s">
        <v>1064</v>
      </c>
      <c r="AG9" s="88" t="s">
        <v>1308</v>
      </c>
      <c r="AH9" s="88" t="s">
        <v>1430</v>
      </c>
      <c r="AI9" s="88">
        <v>84</v>
      </c>
      <c r="AJ9" s="88">
        <v>0</v>
      </c>
      <c r="AK9" s="88">
        <v>0</v>
      </c>
      <c r="AL9" s="88">
        <v>0</v>
      </c>
      <c r="AM9" s="88" t="s">
        <v>1705</v>
      </c>
      <c r="AN9" s="100" t="str">
        <f>HYPERLINK("https://www.youtube.com/watch?v=cIk9b2gcUqY")</f>
        <v>https://www.youtube.com/watch?v=cIk9b2gcUqY</v>
      </c>
      <c r="AO9" s="88" t="str">
        <f>REPLACE(INDEX(GroupVertices[Group],MATCH(Vertices[[#This Row],[Vertex]],GroupVertices[Vertex],0)),1,1,"")</f>
        <v>3</v>
      </c>
      <c r="AP9" s="48">
        <v>0</v>
      </c>
      <c r="AQ9" s="49">
        <v>0</v>
      </c>
      <c r="AR9" s="48">
        <v>0</v>
      </c>
      <c r="AS9" s="49">
        <v>0</v>
      </c>
      <c r="AT9" s="48">
        <v>0</v>
      </c>
      <c r="AU9" s="49">
        <v>0</v>
      </c>
      <c r="AV9" s="48">
        <v>16</v>
      </c>
      <c r="AW9" s="49">
        <v>100</v>
      </c>
      <c r="AX9" s="48">
        <v>16</v>
      </c>
      <c r="AY9" s="48"/>
      <c r="AZ9" s="48"/>
      <c r="BA9" s="48"/>
      <c r="BB9" s="48"/>
      <c r="BC9" s="2"/>
      <c r="BD9" s="3"/>
      <c r="BE9" s="3"/>
      <c r="BF9" s="3"/>
      <c r="BG9" s="3"/>
    </row>
    <row r="10" spans="1:59" ht="15">
      <c r="A10" s="65" t="s">
        <v>239</v>
      </c>
      <c r="B10" s="66"/>
      <c r="C10" s="66"/>
      <c r="D10" s="67">
        <v>80.11694966692177</v>
      </c>
      <c r="E10" s="69"/>
      <c r="F10" s="98" t="str">
        <f>HYPERLINK("https://i.ytimg.com/vi/SNa93H_0-58/default.jpg")</f>
        <v>https://i.ytimg.com/vi/SNa93H_0-58/default.jpg</v>
      </c>
      <c r="G10" s="66"/>
      <c r="H10" s="70" t="s">
        <v>512</v>
      </c>
      <c r="I10" s="71"/>
      <c r="J10" s="71" t="s">
        <v>159</v>
      </c>
      <c r="K10" s="70" t="s">
        <v>512</v>
      </c>
      <c r="L10" s="74">
        <v>909.9090909090909</v>
      </c>
      <c r="M10" s="75">
        <v>6761.33740234375</v>
      </c>
      <c r="N10" s="75">
        <v>7386.1806640625</v>
      </c>
      <c r="O10" s="76"/>
      <c r="P10" s="77"/>
      <c r="Q10" s="77"/>
      <c r="R10" s="91"/>
      <c r="S10" s="48">
        <v>1</v>
      </c>
      <c r="T10" s="48">
        <v>0</v>
      </c>
      <c r="U10" s="49">
        <v>0</v>
      </c>
      <c r="V10" s="49">
        <v>0.000817</v>
      </c>
      <c r="W10" s="49">
        <v>0.00087</v>
      </c>
      <c r="X10" s="49">
        <v>0.455185</v>
      </c>
      <c r="Y10" s="49">
        <v>0</v>
      </c>
      <c r="Z10" s="49">
        <v>0</v>
      </c>
      <c r="AA10" s="72">
        <v>10</v>
      </c>
      <c r="AB10" s="72"/>
      <c r="AC10" s="73"/>
      <c r="AD10" s="88" t="s">
        <v>512</v>
      </c>
      <c r="AE10" s="88" t="s">
        <v>790</v>
      </c>
      <c r="AF10" s="88" t="s">
        <v>1065</v>
      </c>
      <c r="AG10" s="88" t="s">
        <v>1308</v>
      </c>
      <c r="AH10" s="88" t="s">
        <v>1431</v>
      </c>
      <c r="AI10" s="88">
        <v>1163</v>
      </c>
      <c r="AJ10" s="88">
        <v>0</v>
      </c>
      <c r="AK10" s="88">
        <v>14</v>
      </c>
      <c r="AL10" s="88">
        <v>11</v>
      </c>
      <c r="AM10" s="88" t="s">
        <v>1705</v>
      </c>
      <c r="AN10" s="100" t="str">
        <f>HYPERLINK("https://www.youtube.com/watch?v=SNa93H_0-58")</f>
        <v>https://www.youtube.com/watch?v=SNa93H_0-58</v>
      </c>
      <c r="AO10" s="88" t="str">
        <f>REPLACE(INDEX(GroupVertices[Group],MATCH(Vertices[[#This Row],[Vertex]],GroupVertices[Vertex],0)),1,1,"")</f>
        <v>3</v>
      </c>
      <c r="AP10" s="48">
        <v>0</v>
      </c>
      <c r="AQ10" s="49">
        <v>0</v>
      </c>
      <c r="AR10" s="48">
        <v>1</v>
      </c>
      <c r="AS10" s="49">
        <v>5.555555555555555</v>
      </c>
      <c r="AT10" s="48">
        <v>0</v>
      </c>
      <c r="AU10" s="49">
        <v>0</v>
      </c>
      <c r="AV10" s="48">
        <v>17</v>
      </c>
      <c r="AW10" s="49">
        <v>94.44444444444444</v>
      </c>
      <c r="AX10" s="48">
        <v>18</v>
      </c>
      <c r="AY10" s="48"/>
      <c r="AZ10" s="48"/>
      <c r="BA10" s="48"/>
      <c r="BB10" s="48"/>
      <c r="BC10" s="2"/>
      <c r="BD10" s="3"/>
      <c r="BE10" s="3"/>
      <c r="BF10" s="3"/>
      <c r="BG10" s="3"/>
    </row>
    <row r="11" spans="1:59" ht="15">
      <c r="A11" s="65" t="s">
        <v>240</v>
      </c>
      <c r="B11" s="66"/>
      <c r="C11" s="66"/>
      <c r="D11" s="67">
        <v>82.33888495134833</v>
      </c>
      <c r="E11" s="69"/>
      <c r="F11" s="98" t="str">
        <f>HYPERLINK("https://i.ytimg.com/vi/FxcXhYf_OpU/default.jpg")</f>
        <v>https://i.ytimg.com/vi/FxcXhYf_OpU/default.jpg</v>
      </c>
      <c r="G11" s="66"/>
      <c r="H11" s="70" t="s">
        <v>513</v>
      </c>
      <c r="I11" s="71"/>
      <c r="J11" s="71" t="s">
        <v>159</v>
      </c>
      <c r="K11" s="70" t="s">
        <v>513</v>
      </c>
      <c r="L11" s="74">
        <v>909.9090909090909</v>
      </c>
      <c r="M11" s="75">
        <v>6949.62841796875</v>
      </c>
      <c r="N11" s="75">
        <v>7751.68798828125</v>
      </c>
      <c r="O11" s="76"/>
      <c r="P11" s="77"/>
      <c r="Q11" s="77"/>
      <c r="R11" s="91"/>
      <c r="S11" s="48">
        <v>1</v>
      </c>
      <c r="T11" s="48">
        <v>0</v>
      </c>
      <c r="U11" s="49">
        <v>0</v>
      </c>
      <c r="V11" s="49">
        <v>0.000817</v>
      </c>
      <c r="W11" s="49">
        <v>0.00087</v>
      </c>
      <c r="X11" s="49">
        <v>0.455185</v>
      </c>
      <c r="Y11" s="49">
        <v>0</v>
      </c>
      <c r="Z11" s="49">
        <v>0</v>
      </c>
      <c r="AA11" s="72">
        <v>11</v>
      </c>
      <c r="AB11" s="72"/>
      <c r="AC11" s="73"/>
      <c r="AD11" s="88" t="s">
        <v>513</v>
      </c>
      <c r="AE11" s="88" t="s">
        <v>791</v>
      </c>
      <c r="AF11" s="88" t="s">
        <v>1066</v>
      </c>
      <c r="AG11" s="88" t="s">
        <v>1309</v>
      </c>
      <c r="AH11" s="88" t="s">
        <v>1432</v>
      </c>
      <c r="AI11" s="88">
        <v>21663</v>
      </c>
      <c r="AJ11" s="88">
        <v>561</v>
      </c>
      <c r="AK11" s="88">
        <v>724</v>
      </c>
      <c r="AL11" s="88">
        <v>70</v>
      </c>
      <c r="AM11" s="88" t="s">
        <v>1705</v>
      </c>
      <c r="AN11" s="100" t="str">
        <f>HYPERLINK("https://www.youtube.com/watch?v=FxcXhYf_OpU")</f>
        <v>https://www.youtube.com/watch?v=FxcXhYf_OpU</v>
      </c>
      <c r="AO11" s="88" t="str">
        <f>REPLACE(INDEX(GroupVertices[Group],MATCH(Vertices[[#This Row],[Vertex]],GroupVertices[Vertex],0)),1,1,"")</f>
        <v>3</v>
      </c>
      <c r="AP11" s="48">
        <v>0</v>
      </c>
      <c r="AQ11" s="49">
        <v>0</v>
      </c>
      <c r="AR11" s="48">
        <v>0</v>
      </c>
      <c r="AS11" s="49">
        <v>0</v>
      </c>
      <c r="AT11" s="48">
        <v>0</v>
      </c>
      <c r="AU11" s="49">
        <v>0</v>
      </c>
      <c r="AV11" s="48">
        <v>11</v>
      </c>
      <c r="AW11" s="49">
        <v>100</v>
      </c>
      <c r="AX11" s="48">
        <v>11</v>
      </c>
      <c r="AY11" s="48"/>
      <c r="AZ11" s="48"/>
      <c r="BA11" s="48"/>
      <c r="BB11" s="48"/>
      <c r="BC11" s="2"/>
      <c r="BD11" s="3"/>
      <c r="BE11" s="3"/>
      <c r="BF11" s="3"/>
      <c r="BG11" s="3"/>
    </row>
    <row r="12" spans="1:59" ht="15">
      <c r="A12" s="65" t="s">
        <v>241</v>
      </c>
      <c r="B12" s="66"/>
      <c r="C12" s="66"/>
      <c r="D12" s="67">
        <v>81.62222953180549</v>
      </c>
      <c r="E12" s="69"/>
      <c r="F12" s="98" t="str">
        <f>HYPERLINK("https://i.ytimg.com/vi/QIUVG924LBs/default.jpg")</f>
        <v>https://i.ytimg.com/vi/QIUVG924LBs/default.jpg</v>
      </c>
      <c r="G12" s="66"/>
      <c r="H12" s="70" t="s">
        <v>514</v>
      </c>
      <c r="I12" s="71"/>
      <c r="J12" s="71" t="s">
        <v>159</v>
      </c>
      <c r="K12" s="70" t="s">
        <v>514</v>
      </c>
      <c r="L12" s="74">
        <v>909.9090909090909</v>
      </c>
      <c r="M12" s="75">
        <v>6019.013671875</v>
      </c>
      <c r="N12" s="75">
        <v>7288.22314453125</v>
      </c>
      <c r="O12" s="76"/>
      <c r="P12" s="77"/>
      <c r="Q12" s="77"/>
      <c r="R12" s="91"/>
      <c r="S12" s="48">
        <v>1</v>
      </c>
      <c r="T12" s="48">
        <v>0</v>
      </c>
      <c r="U12" s="49">
        <v>0</v>
      </c>
      <c r="V12" s="49">
        <v>0.000817</v>
      </c>
      <c r="W12" s="49">
        <v>0.00087</v>
      </c>
      <c r="X12" s="49">
        <v>0.455185</v>
      </c>
      <c r="Y12" s="49">
        <v>0</v>
      </c>
      <c r="Z12" s="49">
        <v>0</v>
      </c>
      <c r="AA12" s="72">
        <v>12</v>
      </c>
      <c r="AB12" s="72"/>
      <c r="AC12" s="73"/>
      <c r="AD12" s="88" t="s">
        <v>514</v>
      </c>
      <c r="AE12" s="88" t="s">
        <v>792</v>
      </c>
      <c r="AF12" s="88" t="s">
        <v>1067</v>
      </c>
      <c r="AG12" s="88" t="s">
        <v>1308</v>
      </c>
      <c r="AH12" s="88" t="s">
        <v>1433</v>
      </c>
      <c r="AI12" s="88">
        <v>15051</v>
      </c>
      <c r="AJ12" s="88">
        <v>0</v>
      </c>
      <c r="AK12" s="88">
        <v>0</v>
      </c>
      <c r="AL12" s="88">
        <v>0</v>
      </c>
      <c r="AM12" s="88" t="s">
        <v>1705</v>
      </c>
      <c r="AN12" s="100" t="str">
        <f>HYPERLINK("https://www.youtube.com/watch?v=QIUVG924LBs")</f>
        <v>https://www.youtube.com/watch?v=QIUVG924LBs</v>
      </c>
      <c r="AO12" s="88" t="str">
        <f>REPLACE(INDEX(GroupVertices[Group],MATCH(Vertices[[#This Row],[Vertex]],GroupVertices[Vertex],0)),1,1,"")</f>
        <v>3</v>
      </c>
      <c r="AP12" s="48">
        <v>0</v>
      </c>
      <c r="AQ12" s="49">
        <v>0</v>
      </c>
      <c r="AR12" s="48">
        <v>0</v>
      </c>
      <c r="AS12" s="49">
        <v>0</v>
      </c>
      <c r="AT12" s="48">
        <v>0</v>
      </c>
      <c r="AU12" s="49">
        <v>0</v>
      </c>
      <c r="AV12" s="48">
        <v>9</v>
      </c>
      <c r="AW12" s="49">
        <v>100</v>
      </c>
      <c r="AX12" s="48">
        <v>9</v>
      </c>
      <c r="AY12" s="48"/>
      <c r="AZ12" s="48"/>
      <c r="BA12" s="48"/>
      <c r="BB12" s="48"/>
      <c r="BC12" s="2"/>
      <c r="BD12" s="3"/>
      <c r="BE12" s="3"/>
      <c r="BF12" s="3"/>
      <c r="BG12" s="3"/>
    </row>
    <row r="13" spans="1:59" ht="15">
      <c r="A13" s="65" t="s">
        <v>242</v>
      </c>
      <c r="B13" s="66"/>
      <c r="C13" s="66"/>
      <c r="D13" s="67">
        <v>81.06284377556521</v>
      </c>
      <c r="E13" s="69"/>
      <c r="F13" s="98" t="str">
        <f>HYPERLINK("https://i.ytimg.com/vi/2PHJirJod60/default.jpg")</f>
        <v>https://i.ytimg.com/vi/2PHJirJod60/default.jpg</v>
      </c>
      <c r="G13" s="66"/>
      <c r="H13" s="70" t="s">
        <v>515</v>
      </c>
      <c r="I13" s="71"/>
      <c r="J13" s="71" t="s">
        <v>159</v>
      </c>
      <c r="K13" s="70" t="s">
        <v>515</v>
      </c>
      <c r="L13" s="74">
        <v>909.9090909090909</v>
      </c>
      <c r="M13" s="75">
        <v>4604.02294921875</v>
      </c>
      <c r="N13" s="75">
        <v>6880.482421875</v>
      </c>
      <c r="O13" s="76"/>
      <c r="P13" s="77"/>
      <c r="Q13" s="77"/>
      <c r="R13" s="91"/>
      <c r="S13" s="48">
        <v>1</v>
      </c>
      <c r="T13" s="48">
        <v>0</v>
      </c>
      <c r="U13" s="49">
        <v>0</v>
      </c>
      <c r="V13" s="49">
        <v>0.000817</v>
      </c>
      <c r="W13" s="49">
        <v>0.00087</v>
      </c>
      <c r="X13" s="49">
        <v>0.455185</v>
      </c>
      <c r="Y13" s="49">
        <v>0</v>
      </c>
      <c r="Z13" s="49">
        <v>0</v>
      </c>
      <c r="AA13" s="72">
        <v>13</v>
      </c>
      <c r="AB13" s="72"/>
      <c r="AC13" s="73"/>
      <c r="AD13" s="88" t="s">
        <v>515</v>
      </c>
      <c r="AE13" s="88" t="s">
        <v>793</v>
      </c>
      <c r="AF13" s="88" t="s">
        <v>1068</v>
      </c>
      <c r="AG13" s="88" t="s">
        <v>1310</v>
      </c>
      <c r="AH13" s="88" t="s">
        <v>1434</v>
      </c>
      <c r="AI13" s="88">
        <v>9890</v>
      </c>
      <c r="AJ13" s="88">
        <v>33</v>
      </c>
      <c r="AK13" s="88">
        <v>216</v>
      </c>
      <c r="AL13" s="88">
        <v>16</v>
      </c>
      <c r="AM13" s="88" t="s">
        <v>1705</v>
      </c>
      <c r="AN13" s="100" t="str">
        <f>HYPERLINK("https://www.youtube.com/watch?v=2PHJirJod60")</f>
        <v>https://www.youtube.com/watch?v=2PHJirJod60</v>
      </c>
      <c r="AO13" s="88" t="str">
        <f>REPLACE(INDEX(GroupVertices[Group],MATCH(Vertices[[#This Row],[Vertex]],GroupVertices[Vertex],0)),1,1,"")</f>
        <v>3</v>
      </c>
      <c r="AP13" s="48">
        <v>1</v>
      </c>
      <c r="AQ13" s="49">
        <v>2.127659574468085</v>
      </c>
      <c r="AR13" s="48">
        <v>1</v>
      </c>
      <c r="AS13" s="49">
        <v>2.127659574468085</v>
      </c>
      <c r="AT13" s="48">
        <v>0</v>
      </c>
      <c r="AU13" s="49">
        <v>0</v>
      </c>
      <c r="AV13" s="48">
        <v>45</v>
      </c>
      <c r="AW13" s="49">
        <v>95.74468085106383</v>
      </c>
      <c r="AX13" s="48">
        <v>47</v>
      </c>
      <c r="AY13" s="48"/>
      <c r="AZ13" s="48"/>
      <c r="BA13" s="48"/>
      <c r="BB13" s="48"/>
      <c r="BC13" s="2"/>
      <c r="BD13" s="3"/>
      <c r="BE13" s="3"/>
      <c r="BF13" s="3"/>
      <c r="BG13" s="3"/>
    </row>
    <row r="14" spans="1:59" ht="15">
      <c r="A14" s="65" t="s">
        <v>243</v>
      </c>
      <c r="B14" s="66"/>
      <c r="C14" s="66"/>
      <c r="D14" s="67">
        <v>80.7733418660675</v>
      </c>
      <c r="E14" s="69"/>
      <c r="F14" s="98" t="str">
        <f>HYPERLINK("https://i.ytimg.com/vi/ICc_77oBOFQ/default.jpg")</f>
        <v>https://i.ytimg.com/vi/ICc_77oBOFQ/default.jpg</v>
      </c>
      <c r="G14" s="66"/>
      <c r="H14" s="70" t="s">
        <v>516</v>
      </c>
      <c r="I14" s="71"/>
      <c r="J14" s="71" t="s">
        <v>159</v>
      </c>
      <c r="K14" s="70" t="s">
        <v>516</v>
      </c>
      <c r="L14" s="74">
        <v>909.9090909090909</v>
      </c>
      <c r="M14" s="75">
        <v>6467.7822265625</v>
      </c>
      <c r="N14" s="75">
        <v>7085.51953125</v>
      </c>
      <c r="O14" s="76"/>
      <c r="P14" s="77"/>
      <c r="Q14" s="77"/>
      <c r="R14" s="91"/>
      <c r="S14" s="48">
        <v>1</v>
      </c>
      <c r="T14" s="48">
        <v>0</v>
      </c>
      <c r="U14" s="49">
        <v>0</v>
      </c>
      <c r="V14" s="49">
        <v>0.000817</v>
      </c>
      <c r="W14" s="49">
        <v>0.00087</v>
      </c>
      <c r="X14" s="49">
        <v>0.455185</v>
      </c>
      <c r="Y14" s="49">
        <v>0</v>
      </c>
      <c r="Z14" s="49">
        <v>0</v>
      </c>
      <c r="AA14" s="72">
        <v>14</v>
      </c>
      <c r="AB14" s="72"/>
      <c r="AC14" s="73"/>
      <c r="AD14" s="88" t="s">
        <v>516</v>
      </c>
      <c r="AE14" s="88" t="s">
        <v>794</v>
      </c>
      <c r="AF14" s="88" t="s">
        <v>1069</v>
      </c>
      <c r="AG14" s="88" t="s">
        <v>1311</v>
      </c>
      <c r="AH14" s="88" t="s">
        <v>1435</v>
      </c>
      <c r="AI14" s="88">
        <v>7219</v>
      </c>
      <c r="AJ14" s="88">
        <v>74</v>
      </c>
      <c r="AK14" s="88">
        <v>201</v>
      </c>
      <c r="AL14" s="88">
        <v>17</v>
      </c>
      <c r="AM14" s="88" t="s">
        <v>1705</v>
      </c>
      <c r="AN14" s="100" t="str">
        <f>HYPERLINK("https://www.youtube.com/watch?v=ICc_77oBOFQ")</f>
        <v>https://www.youtube.com/watch?v=ICc_77oBOFQ</v>
      </c>
      <c r="AO14" s="88" t="str">
        <f>REPLACE(INDEX(GroupVertices[Group],MATCH(Vertices[[#This Row],[Vertex]],GroupVertices[Vertex],0)),1,1,"")</f>
        <v>3</v>
      </c>
      <c r="AP14" s="48">
        <v>0</v>
      </c>
      <c r="AQ14" s="49">
        <v>0</v>
      </c>
      <c r="AR14" s="48">
        <v>0</v>
      </c>
      <c r="AS14" s="49">
        <v>0</v>
      </c>
      <c r="AT14" s="48">
        <v>0</v>
      </c>
      <c r="AU14" s="49">
        <v>0</v>
      </c>
      <c r="AV14" s="48">
        <v>37</v>
      </c>
      <c r="AW14" s="49">
        <v>100</v>
      </c>
      <c r="AX14" s="48">
        <v>37</v>
      </c>
      <c r="AY14" s="48"/>
      <c r="AZ14" s="48"/>
      <c r="BA14" s="48"/>
      <c r="BB14" s="48"/>
      <c r="BC14" s="2"/>
      <c r="BD14" s="3"/>
      <c r="BE14" s="3"/>
      <c r="BF14" s="3"/>
      <c r="BG14" s="3"/>
    </row>
    <row r="15" spans="1:59" ht="15">
      <c r="A15" s="65" t="s">
        <v>244</v>
      </c>
      <c r="B15" s="66"/>
      <c r="C15" s="66"/>
      <c r="D15" s="67">
        <v>80.45121544336916</v>
      </c>
      <c r="E15" s="69"/>
      <c r="F15" s="98" t="str">
        <f>HYPERLINK("https://i.ytimg.com/vi/GBKu3_8Rkcw/default.jpg")</f>
        <v>https://i.ytimg.com/vi/GBKu3_8Rkcw/default.jpg</v>
      </c>
      <c r="G15" s="66"/>
      <c r="H15" s="70" t="s">
        <v>517</v>
      </c>
      <c r="I15" s="71"/>
      <c r="J15" s="71" t="s">
        <v>159</v>
      </c>
      <c r="K15" s="70" t="s">
        <v>517</v>
      </c>
      <c r="L15" s="74">
        <v>909.9090909090909</v>
      </c>
      <c r="M15" s="75">
        <v>7026.89794921875</v>
      </c>
      <c r="N15" s="75">
        <v>8138.69775390625</v>
      </c>
      <c r="O15" s="76"/>
      <c r="P15" s="77"/>
      <c r="Q15" s="77"/>
      <c r="R15" s="91"/>
      <c r="S15" s="48">
        <v>1</v>
      </c>
      <c r="T15" s="48">
        <v>0</v>
      </c>
      <c r="U15" s="49">
        <v>0</v>
      </c>
      <c r="V15" s="49">
        <v>0.000817</v>
      </c>
      <c r="W15" s="49">
        <v>0.00087</v>
      </c>
      <c r="X15" s="49">
        <v>0.455185</v>
      </c>
      <c r="Y15" s="49">
        <v>0</v>
      </c>
      <c r="Z15" s="49">
        <v>0</v>
      </c>
      <c r="AA15" s="72">
        <v>15</v>
      </c>
      <c r="AB15" s="72"/>
      <c r="AC15" s="73"/>
      <c r="AD15" s="88" t="s">
        <v>517</v>
      </c>
      <c r="AE15" s="88" t="s">
        <v>795</v>
      </c>
      <c r="AF15" s="88"/>
      <c r="AG15" s="88" t="s">
        <v>1312</v>
      </c>
      <c r="AH15" s="88" t="s">
        <v>1436</v>
      </c>
      <c r="AI15" s="88">
        <v>4247</v>
      </c>
      <c r="AJ15" s="88">
        <v>0</v>
      </c>
      <c r="AK15" s="88">
        <v>33</v>
      </c>
      <c r="AL15" s="88">
        <v>3</v>
      </c>
      <c r="AM15" s="88" t="s">
        <v>1705</v>
      </c>
      <c r="AN15" s="100" t="str">
        <f>HYPERLINK("https://www.youtube.com/watch?v=GBKu3_8Rkcw")</f>
        <v>https://www.youtube.com/watch?v=GBKu3_8Rkcw</v>
      </c>
      <c r="AO15" s="88" t="str">
        <f>REPLACE(INDEX(GroupVertices[Group],MATCH(Vertices[[#This Row],[Vertex]],GroupVertices[Vertex],0)),1,1,"")</f>
        <v>3</v>
      </c>
      <c r="AP15" s="48"/>
      <c r="AQ15" s="49"/>
      <c r="AR15" s="48"/>
      <c r="AS15" s="49"/>
      <c r="AT15" s="48"/>
      <c r="AU15" s="49"/>
      <c r="AV15" s="48"/>
      <c r="AW15" s="49"/>
      <c r="AX15" s="48"/>
      <c r="AY15" s="48"/>
      <c r="AZ15" s="48"/>
      <c r="BA15" s="48"/>
      <c r="BB15" s="48"/>
      <c r="BC15" s="2"/>
      <c r="BD15" s="3"/>
      <c r="BE15" s="3"/>
      <c r="BF15" s="3"/>
      <c r="BG15" s="3"/>
    </row>
    <row r="16" spans="1:59" ht="15">
      <c r="A16" s="65" t="s">
        <v>245</v>
      </c>
      <c r="B16" s="66"/>
      <c r="C16" s="66"/>
      <c r="D16" s="67">
        <v>80.73107090211987</v>
      </c>
      <c r="E16" s="69"/>
      <c r="F16" s="98" t="str">
        <f>HYPERLINK("https://i.ytimg.com/vi/LWK0AoOvvDc/default.jpg")</f>
        <v>https://i.ytimg.com/vi/LWK0AoOvvDc/default.jpg</v>
      </c>
      <c r="G16" s="66"/>
      <c r="H16" s="70" t="s">
        <v>518</v>
      </c>
      <c r="I16" s="71"/>
      <c r="J16" s="71" t="s">
        <v>159</v>
      </c>
      <c r="K16" s="70" t="s">
        <v>518</v>
      </c>
      <c r="L16" s="74">
        <v>909.9090909090909</v>
      </c>
      <c r="M16" s="75">
        <v>4904.39892578125</v>
      </c>
      <c r="N16" s="75">
        <v>7057.45361328125</v>
      </c>
      <c r="O16" s="76"/>
      <c r="P16" s="77"/>
      <c r="Q16" s="77"/>
      <c r="R16" s="91"/>
      <c r="S16" s="48">
        <v>1</v>
      </c>
      <c r="T16" s="48">
        <v>0</v>
      </c>
      <c r="U16" s="49">
        <v>0</v>
      </c>
      <c r="V16" s="49">
        <v>0.000817</v>
      </c>
      <c r="W16" s="49">
        <v>0.00087</v>
      </c>
      <c r="X16" s="49">
        <v>0.455185</v>
      </c>
      <c r="Y16" s="49">
        <v>0</v>
      </c>
      <c r="Z16" s="49">
        <v>0</v>
      </c>
      <c r="AA16" s="72">
        <v>16</v>
      </c>
      <c r="AB16" s="72"/>
      <c r="AC16" s="73"/>
      <c r="AD16" s="88" t="s">
        <v>518</v>
      </c>
      <c r="AE16" s="88" t="s">
        <v>796</v>
      </c>
      <c r="AF16" s="88" t="s">
        <v>1070</v>
      </c>
      <c r="AG16" s="88" t="s">
        <v>1308</v>
      </c>
      <c r="AH16" s="88" t="s">
        <v>1437</v>
      </c>
      <c r="AI16" s="88">
        <v>6829</v>
      </c>
      <c r="AJ16" s="88">
        <v>3</v>
      </c>
      <c r="AK16" s="88">
        <v>35</v>
      </c>
      <c r="AL16" s="88">
        <v>16</v>
      </c>
      <c r="AM16" s="88" t="s">
        <v>1705</v>
      </c>
      <c r="AN16" s="100" t="str">
        <f>HYPERLINK("https://www.youtube.com/watch?v=LWK0AoOvvDc")</f>
        <v>https://www.youtube.com/watch?v=LWK0AoOvvDc</v>
      </c>
      <c r="AO16" s="88" t="str">
        <f>REPLACE(INDEX(GroupVertices[Group],MATCH(Vertices[[#This Row],[Vertex]],GroupVertices[Vertex],0)),1,1,"")</f>
        <v>3</v>
      </c>
      <c r="AP16" s="48">
        <v>0</v>
      </c>
      <c r="AQ16" s="49">
        <v>0</v>
      </c>
      <c r="AR16" s="48">
        <v>0</v>
      </c>
      <c r="AS16" s="49">
        <v>0</v>
      </c>
      <c r="AT16" s="48">
        <v>0</v>
      </c>
      <c r="AU16" s="49">
        <v>0</v>
      </c>
      <c r="AV16" s="48">
        <v>8</v>
      </c>
      <c r="AW16" s="49">
        <v>100</v>
      </c>
      <c r="AX16" s="48">
        <v>8</v>
      </c>
      <c r="AY16" s="48"/>
      <c r="AZ16" s="48"/>
      <c r="BA16" s="48"/>
      <c r="BB16" s="48"/>
      <c r="BC16" s="2"/>
      <c r="BD16" s="3"/>
      <c r="BE16" s="3"/>
      <c r="BF16" s="3"/>
      <c r="BG16" s="3"/>
    </row>
    <row r="17" spans="1:59" ht="15">
      <c r="A17" s="65" t="s">
        <v>215</v>
      </c>
      <c r="B17" s="66"/>
      <c r="C17" s="66"/>
      <c r="D17" s="67">
        <v>176.50688682126122</v>
      </c>
      <c r="E17" s="69"/>
      <c r="F17" s="98" t="str">
        <f>HYPERLINK("https://i.ytimg.com/vi/aX67cDwcETU/default.jpg")</f>
        <v>https://i.ytimg.com/vi/aX67cDwcETU/default.jpg</v>
      </c>
      <c r="G17" s="66"/>
      <c r="H17" s="70" t="s">
        <v>519</v>
      </c>
      <c r="I17" s="71"/>
      <c r="J17" s="71" t="s">
        <v>159</v>
      </c>
      <c r="K17" s="70" t="s">
        <v>519</v>
      </c>
      <c r="L17" s="74">
        <v>909.9090909090909</v>
      </c>
      <c r="M17" s="75">
        <v>4913.927734375</v>
      </c>
      <c r="N17" s="75">
        <v>4220.81494140625</v>
      </c>
      <c r="O17" s="76"/>
      <c r="P17" s="77"/>
      <c r="Q17" s="77"/>
      <c r="R17" s="91"/>
      <c r="S17" s="48">
        <v>1</v>
      </c>
      <c r="T17" s="48">
        <v>20</v>
      </c>
      <c r="U17" s="49">
        <v>10113.118982</v>
      </c>
      <c r="V17" s="49">
        <v>0.001151</v>
      </c>
      <c r="W17" s="49">
        <v>0.021021</v>
      </c>
      <c r="X17" s="49">
        <v>5.759684</v>
      </c>
      <c r="Y17" s="49">
        <v>0.014285714285714285</v>
      </c>
      <c r="Z17" s="49">
        <v>0</v>
      </c>
      <c r="AA17" s="72">
        <v>17</v>
      </c>
      <c r="AB17" s="72"/>
      <c r="AC17" s="73"/>
      <c r="AD17" s="88" t="s">
        <v>519</v>
      </c>
      <c r="AE17" s="88" t="s">
        <v>797</v>
      </c>
      <c r="AF17" s="88" t="s">
        <v>1071</v>
      </c>
      <c r="AG17" s="88" t="s">
        <v>1313</v>
      </c>
      <c r="AH17" s="88" t="s">
        <v>1438</v>
      </c>
      <c r="AI17" s="88">
        <v>890475</v>
      </c>
      <c r="AJ17" s="88">
        <v>2433</v>
      </c>
      <c r="AK17" s="88">
        <v>3786</v>
      </c>
      <c r="AL17" s="88">
        <v>1430</v>
      </c>
      <c r="AM17" s="88" t="s">
        <v>1705</v>
      </c>
      <c r="AN17" s="100" t="str">
        <f>HYPERLINK("https://www.youtube.com/watch?v=aX67cDwcETU")</f>
        <v>https://www.youtube.com/watch?v=aX67cDwcETU</v>
      </c>
      <c r="AO17" s="88" t="str">
        <f>REPLACE(INDEX(GroupVertices[Group],MATCH(Vertices[[#This Row],[Vertex]],GroupVertices[Vertex],0)),1,1,"")</f>
        <v>5</v>
      </c>
      <c r="AP17" s="48">
        <v>1</v>
      </c>
      <c r="AQ17" s="49">
        <v>3.125</v>
      </c>
      <c r="AR17" s="48">
        <v>2</v>
      </c>
      <c r="AS17" s="49">
        <v>6.25</v>
      </c>
      <c r="AT17" s="48">
        <v>0</v>
      </c>
      <c r="AU17" s="49">
        <v>0</v>
      </c>
      <c r="AV17" s="48">
        <v>29</v>
      </c>
      <c r="AW17" s="49">
        <v>90.625</v>
      </c>
      <c r="AX17" s="48">
        <v>32</v>
      </c>
      <c r="AY17" s="121" t="s">
        <v>2747</v>
      </c>
      <c r="AZ17" s="121" t="s">
        <v>2747</v>
      </c>
      <c r="BA17" s="121" t="s">
        <v>2747</v>
      </c>
      <c r="BB17" s="121" t="s">
        <v>2747</v>
      </c>
      <c r="BC17" s="2"/>
      <c r="BD17" s="3"/>
      <c r="BE17" s="3"/>
      <c r="BF17" s="3"/>
      <c r="BG17" s="3"/>
    </row>
    <row r="18" spans="1:59" ht="15">
      <c r="A18" s="65" t="s">
        <v>246</v>
      </c>
      <c r="B18" s="66"/>
      <c r="C18" s="66"/>
      <c r="D18" s="67">
        <v>177.2612609470958</v>
      </c>
      <c r="E18" s="69"/>
      <c r="F18" s="98" t="str">
        <f>HYPERLINK("https://i.ytimg.com/vi/1b0s_u086iY/default.jpg")</f>
        <v>https://i.ytimg.com/vi/1b0s_u086iY/default.jpg</v>
      </c>
      <c r="G18" s="66"/>
      <c r="H18" s="70" t="s">
        <v>520</v>
      </c>
      <c r="I18" s="71"/>
      <c r="J18" s="71" t="s">
        <v>75</v>
      </c>
      <c r="K18" s="70" t="s">
        <v>520</v>
      </c>
      <c r="L18" s="74">
        <v>1818.8181818181818</v>
      </c>
      <c r="M18" s="75">
        <v>7854.81689453125</v>
      </c>
      <c r="N18" s="75">
        <v>881.8106689453125</v>
      </c>
      <c r="O18" s="76"/>
      <c r="P18" s="77"/>
      <c r="Q18" s="77"/>
      <c r="R18" s="91"/>
      <c r="S18" s="48">
        <v>2</v>
      </c>
      <c r="T18" s="48">
        <v>0</v>
      </c>
      <c r="U18" s="49">
        <v>10360</v>
      </c>
      <c r="V18" s="49">
        <v>0.000845</v>
      </c>
      <c r="W18" s="49">
        <v>0.000881</v>
      </c>
      <c r="X18" s="49">
        <v>0.85291</v>
      </c>
      <c r="Y18" s="49">
        <v>0</v>
      </c>
      <c r="Z18" s="49">
        <v>0</v>
      </c>
      <c r="AA18" s="72">
        <v>18</v>
      </c>
      <c r="AB18" s="72"/>
      <c r="AC18" s="73"/>
      <c r="AD18" s="88" t="s">
        <v>520</v>
      </c>
      <c r="AE18" s="88"/>
      <c r="AF18" s="88" t="s">
        <v>1072</v>
      </c>
      <c r="AG18" s="88" t="s">
        <v>1314</v>
      </c>
      <c r="AH18" s="88" t="s">
        <v>1439</v>
      </c>
      <c r="AI18" s="88">
        <v>897435</v>
      </c>
      <c r="AJ18" s="88">
        <v>6106</v>
      </c>
      <c r="AK18" s="88">
        <v>0</v>
      </c>
      <c r="AL18" s="88">
        <v>0</v>
      </c>
      <c r="AM18" s="88" t="s">
        <v>1705</v>
      </c>
      <c r="AN18" s="100" t="str">
        <f>HYPERLINK("https://www.youtube.com/watch?v=1b0s_u086iY")</f>
        <v>https://www.youtube.com/watch?v=1b0s_u086iY</v>
      </c>
      <c r="AO18" s="88" t="str">
        <f>REPLACE(INDEX(GroupVertices[Group],MATCH(Vertices[[#This Row],[Vertex]],GroupVertices[Vertex],0)),1,1,"")</f>
        <v>7</v>
      </c>
      <c r="AP18" s="48">
        <v>0</v>
      </c>
      <c r="AQ18" s="49">
        <v>0</v>
      </c>
      <c r="AR18" s="48">
        <v>1</v>
      </c>
      <c r="AS18" s="49">
        <v>3.8461538461538463</v>
      </c>
      <c r="AT18" s="48">
        <v>0</v>
      </c>
      <c r="AU18" s="49">
        <v>0</v>
      </c>
      <c r="AV18" s="48">
        <v>25</v>
      </c>
      <c r="AW18" s="49">
        <v>96.15384615384616</v>
      </c>
      <c r="AX18" s="48">
        <v>26</v>
      </c>
      <c r="AY18" s="48"/>
      <c r="AZ18" s="48"/>
      <c r="BA18" s="48"/>
      <c r="BB18" s="48"/>
      <c r="BC18" s="2"/>
      <c r="BD18" s="3"/>
      <c r="BE18" s="3"/>
      <c r="BF18" s="3"/>
      <c r="BG18" s="3"/>
    </row>
    <row r="19" spans="1:59" ht="15">
      <c r="A19" s="65" t="s">
        <v>247</v>
      </c>
      <c r="B19" s="66"/>
      <c r="C19" s="66"/>
      <c r="D19" s="67">
        <v>100.26881882580028</v>
      </c>
      <c r="E19" s="69"/>
      <c r="F19" s="98" t="str">
        <f>HYPERLINK("https://i.ytimg.com/vi/WQdLDMLrYIA/default.jpg")</f>
        <v>https://i.ytimg.com/vi/WQdLDMLrYIA/default.jpg</v>
      </c>
      <c r="G19" s="66"/>
      <c r="H19" s="70" t="s">
        <v>521</v>
      </c>
      <c r="I19" s="71"/>
      <c r="J19" s="71" t="s">
        <v>75</v>
      </c>
      <c r="K19" s="70" t="s">
        <v>521</v>
      </c>
      <c r="L19" s="74">
        <v>3636.6363636363635</v>
      </c>
      <c r="M19" s="75">
        <v>5238.9453125</v>
      </c>
      <c r="N19" s="75">
        <v>8210.58203125</v>
      </c>
      <c r="O19" s="76"/>
      <c r="P19" s="77"/>
      <c r="Q19" s="77"/>
      <c r="R19" s="91"/>
      <c r="S19" s="48">
        <v>4</v>
      </c>
      <c r="T19" s="48">
        <v>0</v>
      </c>
      <c r="U19" s="49">
        <v>4832.195562</v>
      </c>
      <c r="V19" s="49">
        <v>0.001004</v>
      </c>
      <c r="W19" s="49">
        <v>0.005122</v>
      </c>
      <c r="X19" s="49">
        <v>1.30141</v>
      </c>
      <c r="Y19" s="49">
        <v>0.08333333333333333</v>
      </c>
      <c r="Z19" s="49">
        <v>0</v>
      </c>
      <c r="AA19" s="72">
        <v>19</v>
      </c>
      <c r="AB19" s="72"/>
      <c r="AC19" s="73"/>
      <c r="AD19" s="88" t="s">
        <v>521</v>
      </c>
      <c r="AE19" s="88" t="s">
        <v>798</v>
      </c>
      <c r="AF19" s="88" t="s">
        <v>1073</v>
      </c>
      <c r="AG19" s="88" t="s">
        <v>1315</v>
      </c>
      <c r="AH19" s="88" t="s">
        <v>1440</v>
      </c>
      <c r="AI19" s="88">
        <v>187088</v>
      </c>
      <c r="AJ19" s="88">
        <v>1487</v>
      </c>
      <c r="AK19" s="88">
        <v>5866</v>
      </c>
      <c r="AL19" s="88">
        <v>356</v>
      </c>
      <c r="AM19" s="88" t="s">
        <v>1705</v>
      </c>
      <c r="AN19" s="100" t="str">
        <f>HYPERLINK("https://www.youtube.com/watch?v=WQdLDMLrYIA")</f>
        <v>https://www.youtube.com/watch?v=WQdLDMLrYIA</v>
      </c>
      <c r="AO19" s="88" t="str">
        <f>REPLACE(INDEX(GroupVertices[Group],MATCH(Vertices[[#This Row],[Vertex]],GroupVertices[Vertex],0)),1,1,"")</f>
        <v>3</v>
      </c>
      <c r="AP19" s="48">
        <v>1</v>
      </c>
      <c r="AQ19" s="49">
        <v>1.8181818181818181</v>
      </c>
      <c r="AR19" s="48">
        <v>3</v>
      </c>
      <c r="AS19" s="49">
        <v>5.454545454545454</v>
      </c>
      <c r="AT19" s="48">
        <v>0</v>
      </c>
      <c r="AU19" s="49">
        <v>0</v>
      </c>
      <c r="AV19" s="48">
        <v>51</v>
      </c>
      <c r="AW19" s="49">
        <v>92.72727272727273</v>
      </c>
      <c r="AX19" s="48">
        <v>55</v>
      </c>
      <c r="AY19" s="48"/>
      <c r="AZ19" s="48"/>
      <c r="BA19" s="48"/>
      <c r="BB19" s="48"/>
      <c r="BC19" s="2"/>
      <c r="BD19" s="3"/>
      <c r="BE19" s="3"/>
      <c r="BF19" s="3"/>
      <c r="BG19" s="3"/>
    </row>
    <row r="20" spans="1:59" ht="15">
      <c r="A20" s="65" t="s">
        <v>248</v>
      </c>
      <c r="B20" s="66"/>
      <c r="C20" s="66"/>
      <c r="D20" s="67">
        <v>88.77263405126426</v>
      </c>
      <c r="E20" s="69"/>
      <c r="F20" s="98" t="str">
        <f>HYPERLINK("https://i.ytimg.com/vi/-dYWZMx-Lfs/default.jpg")</f>
        <v>https://i.ytimg.com/vi/-dYWZMx-Lfs/default.jpg</v>
      </c>
      <c r="G20" s="66"/>
      <c r="H20" s="70" t="s">
        <v>522</v>
      </c>
      <c r="I20" s="71"/>
      <c r="J20" s="71" t="s">
        <v>75</v>
      </c>
      <c r="K20" s="70" t="s">
        <v>522</v>
      </c>
      <c r="L20" s="74">
        <v>1818.8181818181818</v>
      </c>
      <c r="M20" s="75">
        <v>5547.59130859375</v>
      </c>
      <c r="N20" s="75">
        <v>3890.078857421875</v>
      </c>
      <c r="O20" s="76"/>
      <c r="P20" s="77"/>
      <c r="Q20" s="77"/>
      <c r="R20" s="91"/>
      <c r="S20" s="48">
        <v>2</v>
      </c>
      <c r="T20" s="48">
        <v>0</v>
      </c>
      <c r="U20" s="49">
        <v>0</v>
      </c>
      <c r="V20" s="49">
        <v>0.000923</v>
      </c>
      <c r="W20" s="49">
        <v>0.002987</v>
      </c>
      <c r="X20" s="49">
        <v>0.688315</v>
      </c>
      <c r="Y20" s="49">
        <v>0.5</v>
      </c>
      <c r="Z20" s="49">
        <v>0</v>
      </c>
      <c r="AA20" s="72">
        <v>20</v>
      </c>
      <c r="AB20" s="72"/>
      <c r="AC20" s="73"/>
      <c r="AD20" s="88" t="s">
        <v>522</v>
      </c>
      <c r="AE20" s="88" t="s">
        <v>799</v>
      </c>
      <c r="AF20" s="88" t="s">
        <v>1074</v>
      </c>
      <c r="AG20" s="88" t="s">
        <v>1316</v>
      </c>
      <c r="AH20" s="88" t="s">
        <v>1441</v>
      </c>
      <c r="AI20" s="88">
        <v>81022</v>
      </c>
      <c r="AJ20" s="88">
        <v>431</v>
      </c>
      <c r="AK20" s="88">
        <v>2011</v>
      </c>
      <c r="AL20" s="88">
        <v>71</v>
      </c>
      <c r="AM20" s="88" t="s">
        <v>1705</v>
      </c>
      <c r="AN20" s="100" t="str">
        <f>HYPERLINK("https://www.youtube.com/watch?v=-dYWZMx-Lfs")</f>
        <v>https://www.youtube.com/watch?v=-dYWZMx-Lfs</v>
      </c>
      <c r="AO20" s="88" t="str">
        <f>REPLACE(INDEX(GroupVertices[Group],MATCH(Vertices[[#This Row],[Vertex]],GroupVertices[Vertex],0)),1,1,"")</f>
        <v>5</v>
      </c>
      <c r="AP20" s="48">
        <v>0</v>
      </c>
      <c r="AQ20" s="49">
        <v>0</v>
      </c>
      <c r="AR20" s="48">
        <v>1</v>
      </c>
      <c r="AS20" s="49">
        <v>1.639344262295082</v>
      </c>
      <c r="AT20" s="48">
        <v>0</v>
      </c>
      <c r="AU20" s="49">
        <v>0</v>
      </c>
      <c r="AV20" s="48">
        <v>60</v>
      </c>
      <c r="AW20" s="49">
        <v>98.36065573770492</v>
      </c>
      <c r="AX20" s="48">
        <v>61</v>
      </c>
      <c r="AY20" s="48"/>
      <c r="AZ20" s="48"/>
      <c r="BA20" s="48"/>
      <c r="BB20" s="48"/>
      <c r="BC20" s="2"/>
      <c r="BD20" s="3"/>
      <c r="BE20" s="3"/>
      <c r="BF20" s="3"/>
      <c r="BG20" s="3"/>
    </row>
    <row r="21" spans="1:59" ht="15">
      <c r="A21" s="65" t="s">
        <v>216</v>
      </c>
      <c r="B21" s="66"/>
      <c r="C21" s="66"/>
      <c r="D21" s="67">
        <v>83.66456741299815</v>
      </c>
      <c r="E21" s="69"/>
      <c r="F21" s="98" t="str">
        <f>HYPERLINK("https://i.ytimg.com/vi/Jd3XyhLUbX0/default.jpg")</f>
        <v>https://i.ytimg.com/vi/Jd3XyhLUbX0/default.jpg</v>
      </c>
      <c r="G21" s="66"/>
      <c r="H21" s="70" t="s">
        <v>523</v>
      </c>
      <c r="I21" s="71"/>
      <c r="J21" s="71" t="s">
        <v>159</v>
      </c>
      <c r="K21" s="70" t="s">
        <v>523</v>
      </c>
      <c r="L21" s="74">
        <v>909.9090909090909</v>
      </c>
      <c r="M21" s="75">
        <v>4767.841796875</v>
      </c>
      <c r="N21" s="75">
        <v>8679.6630859375</v>
      </c>
      <c r="O21" s="76"/>
      <c r="P21" s="77"/>
      <c r="Q21" s="77"/>
      <c r="R21" s="91"/>
      <c r="S21" s="48">
        <v>1</v>
      </c>
      <c r="T21" s="48">
        <v>20</v>
      </c>
      <c r="U21" s="49">
        <v>9751.91714</v>
      </c>
      <c r="V21" s="49">
        <v>0.000888</v>
      </c>
      <c r="W21" s="49">
        <v>0.001981</v>
      </c>
      <c r="X21" s="49">
        <v>8.774296</v>
      </c>
      <c r="Y21" s="49">
        <v>0.002380952380952381</v>
      </c>
      <c r="Z21" s="49">
        <v>0</v>
      </c>
      <c r="AA21" s="72">
        <v>21</v>
      </c>
      <c r="AB21" s="72"/>
      <c r="AC21" s="73"/>
      <c r="AD21" s="88" t="s">
        <v>523</v>
      </c>
      <c r="AE21" s="88" t="s">
        <v>800</v>
      </c>
      <c r="AF21" s="88" t="s">
        <v>1075</v>
      </c>
      <c r="AG21" s="88" t="s">
        <v>1317</v>
      </c>
      <c r="AH21" s="88" t="s">
        <v>1442</v>
      </c>
      <c r="AI21" s="88">
        <v>33894</v>
      </c>
      <c r="AJ21" s="88">
        <v>26</v>
      </c>
      <c r="AK21" s="88">
        <v>506</v>
      </c>
      <c r="AL21" s="88">
        <v>79</v>
      </c>
      <c r="AM21" s="88" t="s">
        <v>1705</v>
      </c>
      <c r="AN21" s="100" t="str">
        <f>HYPERLINK("https://www.youtube.com/watch?v=Jd3XyhLUbX0")</f>
        <v>https://www.youtube.com/watch?v=Jd3XyhLUbX0</v>
      </c>
      <c r="AO21" s="88" t="str">
        <f>REPLACE(INDEX(GroupVertices[Group],MATCH(Vertices[[#This Row],[Vertex]],GroupVertices[Vertex],0)),1,1,"")</f>
        <v>3</v>
      </c>
      <c r="AP21" s="48">
        <v>0</v>
      </c>
      <c r="AQ21" s="49">
        <v>0</v>
      </c>
      <c r="AR21" s="48">
        <v>0</v>
      </c>
      <c r="AS21" s="49">
        <v>0</v>
      </c>
      <c r="AT21" s="48">
        <v>0</v>
      </c>
      <c r="AU21" s="49">
        <v>0</v>
      </c>
      <c r="AV21" s="48">
        <v>9</v>
      </c>
      <c r="AW21" s="49">
        <v>100</v>
      </c>
      <c r="AX21" s="48">
        <v>9</v>
      </c>
      <c r="AY21" s="121" t="s">
        <v>2747</v>
      </c>
      <c r="AZ21" s="121" t="s">
        <v>2747</v>
      </c>
      <c r="BA21" s="121" t="s">
        <v>2747</v>
      </c>
      <c r="BB21" s="121" t="s">
        <v>2747</v>
      </c>
      <c r="BC21" s="2"/>
      <c r="BD21" s="3"/>
      <c r="BE21" s="3"/>
      <c r="BF21" s="3"/>
      <c r="BG21" s="3"/>
    </row>
    <row r="22" spans="1:59" ht="15">
      <c r="A22" s="65" t="s">
        <v>218</v>
      </c>
      <c r="B22" s="66"/>
      <c r="C22" s="66"/>
      <c r="D22" s="67">
        <v>86.41998393986118</v>
      </c>
      <c r="E22" s="69"/>
      <c r="F22" s="98" t="str">
        <f>HYPERLINK("https://i.ytimg.com/vi/wM0KxnutlN0/default.jpg")</f>
        <v>https://i.ytimg.com/vi/wM0KxnutlN0/default.jpg</v>
      </c>
      <c r="G22" s="66"/>
      <c r="H22" s="70" t="s">
        <v>524</v>
      </c>
      <c r="I22" s="71"/>
      <c r="J22" s="71" t="s">
        <v>75</v>
      </c>
      <c r="K22" s="70" t="s">
        <v>524</v>
      </c>
      <c r="L22" s="74">
        <v>1818.8181818181818</v>
      </c>
      <c r="M22" s="75">
        <v>1630.904052734375</v>
      </c>
      <c r="N22" s="75">
        <v>2975.345458984375</v>
      </c>
      <c r="O22" s="76"/>
      <c r="P22" s="77"/>
      <c r="Q22" s="77"/>
      <c r="R22" s="91"/>
      <c r="S22" s="48">
        <v>2</v>
      </c>
      <c r="T22" s="48">
        <v>20</v>
      </c>
      <c r="U22" s="49">
        <v>18655.655013</v>
      </c>
      <c r="V22" s="49">
        <v>0.001248</v>
      </c>
      <c r="W22" s="49">
        <v>0.037827</v>
      </c>
      <c r="X22" s="49">
        <v>5.225963</v>
      </c>
      <c r="Y22" s="49">
        <v>0.06493506493506493</v>
      </c>
      <c r="Z22" s="49">
        <v>0</v>
      </c>
      <c r="AA22" s="72">
        <v>22</v>
      </c>
      <c r="AB22" s="72"/>
      <c r="AC22" s="73"/>
      <c r="AD22" s="88" t="s">
        <v>524</v>
      </c>
      <c r="AE22" s="88" t="s">
        <v>801</v>
      </c>
      <c r="AF22" s="88" t="s">
        <v>1076</v>
      </c>
      <c r="AG22" s="88" t="s">
        <v>1318</v>
      </c>
      <c r="AH22" s="88" t="s">
        <v>1443</v>
      </c>
      <c r="AI22" s="88">
        <v>59316</v>
      </c>
      <c r="AJ22" s="88">
        <v>129</v>
      </c>
      <c r="AK22" s="88">
        <v>458</v>
      </c>
      <c r="AL22" s="88">
        <v>63</v>
      </c>
      <c r="AM22" s="88" t="s">
        <v>1705</v>
      </c>
      <c r="AN22" s="100" t="str">
        <f>HYPERLINK("https://www.youtube.com/watch?v=wM0KxnutlN0")</f>
        <v>https://www.youtube.com/watch?v=wM0KxnutlN0</v>
      </c>
      <c r="AO22" s="88" t="str">
        <f>REPLACE(INDEX(GroupVertices[Group],MATCH(Vertices[[#This Row],[Vertex]],GroupVertices[Vertex],0)),1,1,"")</f>
        <v>2</v>
      </c>
      <c r="AP22" s="48">
        <v>1</v>
      </c>
      <c r="AQ22" s="49">
        <v>7.6923076923076925</v>
      </c>
      <c r="AR22" s="48">
        <v>2</v>
      </c>
      <c r="AS22" s="49">
        <v>15.384615384615385</v>
      </c>
      <c r="AT22" s="48">
        <v>0</v>
      </c>
      <c r="AU22" s="49">
        <v>0</v>
      </c>
      <c r="AV22" s="48">
        <v>10</v>
      </c>
      <c r="AW22" s="49">
        <v>76.92307692307692</v>
      </c>
      <c r="AX22" s="48">
        <v>13</v>
      </c>
      <c r="AY22" s="121" t="s">
        <v>2747</v>
      </c>
      <c r="AZ22" s="121" t="s">
        <v>2747</v>
      </c>
      <c r="BA22" s="121" t="s">
        <v>2747</v>
      </c>
      <c r="BB22" s="121" t="s">
        <v>2747</v>
      </c>
      <c r="BC22" s="2"/>
      <c r="BD22" s="3"/>
      <c r="BE22" s="3"/>
      <c r="BF22" s="3"/>
      <c r="BG22" s="3"/>
    </row>
    <row r="23" spans="1:59" ht="15">
      <c r="A23" s="65" t="s">
        <v>249</v>
      </c>
      <c r="B23" s="66"/>
      <c r="C23" s="66"/>
      <c r="D23" s="67">
        <v>151.56669293089993</v>
      </c>
      <c r="E23" s="69"/>
      <c r="F23" s="98" t="str">
        <f>HYPERLINK("https://i.ytimg.com/vi/S1l6BchEoZM/default.jpg")</f>
        <v>https://i.ytimg.com/vi/S1l6BchEoZM/default.jpg</v>
      </c>
      <c r="G23" s="66"/>
      <c r="H23" s="70" t="s">
        <v>525</v>
      </c>
      <c r="I23" s="71"/>
      <c r="J23" s="71" t="s">
        <v>75</v>
      </c>
      <c r="K23" s="70" t="s">
        <v>525</v>
      </c>
      <c r="L23" s="74">
        <v>1818.8181818181818</v>
      </c>
      <c r="M23" s="75">
        <v>6877.7265625</v>
      </c>
      <c r="N23" s="75">
        <v>8487.609375</v>
      </c>
      <c r="O23" s="76"/>
      <c r="P23" s="77"/>
      <c r="Q23" s="77"/>
      <c r="R23" s="91"/>
      <c r="S23" s="48">
        <v>2</v>
      </c>
      <c r="T23" s="48">
        <v>0</v>
      </c>
      <c r="U23" s="49">
        <v>0</v>
      </c>
      <c r="V23" s="49">
        <v>0.000987</v>
      </c>
      <c r="W23" s="49">
        <v>0.004679</v>
      </c>
      <c r="X23" s="49">
        <v>0.657097</v>
      </c>
      <c r="Y23" s="49">
        <v>0.5</v>
      </c>
      <c r="Z23" s="49">
        <v>0</v>
      </c>
      <c r="AA23" s="72">
        <v>23</v>
      </c>
      <c r="AB23" s="72"/>
      <c r="AC23" s="73"/>
      <c r="AD23" s="88" t="s">
        <v>525</v>
      </c>
      <c r="AE23" s="88" t="s">
        <v>802</v>
      </c>
      <c r="AF23" s="88"/>
      <c r="AG23" s="88" t="s">
        <v>1319</v>
      </c>
      <c r="AH23" s="88" t="s">
        <v>1444</v>
      </c>
      <c r="AI23" s="88">
        <v>660372</v>
      </c>
      <c r="AJ23" s="88">
        <v>1645</v>
      </c>
      <c r="AK23" s="88">
        <v>11602</v>
      </c>
      <c r="AL23" s="88">
        <v>634</v>
      </c>
      <c r="AM23" s="88" t="s">
        <v>1705</v>
      </c>
      <c r="AN23" s="100" t="str">
        <f>HYPERLINK("https://www.youtube.com/watch?v=S1l6BchEoZM")</f>
        <v>https://www.youtube.com/watch?v=S1l6BchEoZM</v>
      </c>
      <c r="AO23" s="88" t="str">
        <f>REPLACE(INDEX(GroupVertices[Group],MATCH(Vertices[[#This Row],[Vertex]],GroupVertices[Vertex],0)),1,1,"")</f>
        <v>3</v>
      </c>
      <c r="AP23" s="48"/>
      <c r="AQ23" s="49"/>
      <c r="AR23" s="48"/>
      <c r="AS23" s="49"/>
      <c r="AT23" s="48"/>
      <c r="AU23" s="49"/>
      <c r="AV23" s="48"/>
      <c r="AW23" s="49"/>
      <c r="AX23" s="48"/>
      <c r="AY23" s="48"/>
      <c r="AZ23" s="48"/>
      <c r="BA23" s="48"/>
      <c r="BB23" s="48"/>
      <c r="BC23" s="2"/>
      <c r="BD23" s="3"/>
      <c r="BE23" s="3"/>
      <c r="BF23" s="3"/>
      <c r="BG23" s="3"/>
    </row>
    <row r="24" spans="1:59" ht="15">
      <c r="A24" s="65" t="s">
        <v>250</v>
      </c>
      <c r="B24" s="66"/>
      <c r="C24" s="66"/>
      <c r="D24" s="67">
        <v>81.24590956558455</v>
      </c>
      <c r="E24" s="69"/>
      <c r="F24" s="98" t="str">
        <f>HYPERLINK("https://i.ytimg.com/vi/lZDzkvJqqfY/default.jpg")</f>
        <v>https://i.ytimg.com/vi/lZDzkvJqqfY/default.jpg</v>
      </c>
      <c r="G24" s="66"/>
      <c r="H24" s="70" t="s">
        <v>526</v>
      </c>
      <c r="I24" s="71"/>
      <c r="J24" s="71" t="s">
        <v>159</v>
      </c>
      <c r="K24" s="70" t="s">
        <v>526</v>
      </c>
      <c r="L24" s="74">
        <v>909.9090909090909</v>
      </c>
      <c r="M24" s="75">
        <v>5052.5888671875</v>
      </c>
      <c r="N24" s="75">
        <v>3564.358642578125</v>
      </c>
      <c r="O24" s="76"/>
      <c r="P24" s="77"/>
      <c r="Q24" s="77"/>
      <c r="R24" s="91"/>
      <c r="S24" s="48">
        <v>1</v>
      </c>
      <c r="T24" s="48">
        <v>0</v>
      </c>
      <c r="U24" s="49">
        <v>0</v>
      </c>
      <c r="V24" s="49">
        <v>0.000872</v>
      </c>
      <c r="W24" s="49">
        <v>0.002117</v>
      </c>
      <c r="X24" s="49">
        <v>0.38313</v>
      </c>
      <c r="Y24" s="49">
        <v>0</v>
      </c>
      <c r="Z24" s="49">
        <v>0</v>
      </c>
      <c r="AA24" s="72">
        <v>24</v>
      </c>
      <c r="AB24" s="72"/>
      <c r="AC24" s="73"/>
      <c r="AD24" s="88" t="s">
        <v>526</v>
      </c>
      <c r="AE24" s="88" t="s">
        <v>803</v>
      </c>
      <c r="AF24" s="88" t="s">
        <v>1077</v>
      </c>
      <c r="AG24" s="88" t="s">
        <v>1309</v>
      </c>
      <c r="AH24" s="88" t="s">
        <v>1445</v>
      </c>
      <c r="AI24" s="88">
        <v>11579</v>
      </c>
      <c r="AJ24" s="88">
        <v>152</v>
      </c>
      <c r="AK24" s="88">
        <v>249</v>
      </c>
      <c r="AL24" s="88">
        <v>24</v>
      </c>
      <c r="AM24" s="88" t="s">
        <v>1705</v>
      </c>
      <c r="AN24" s="100" t="str">
        <f>HYPERLINK("https://www.youtube.com/watch?v=lZDzkvJqqfY")</f>
        <v>https://www.youtube.com/watch?v=lZDzkvJqqfY</v>
      </c>
      <c r="AO24" s="88" t="str">
        <f>REPLACE(INDEX(GroupVertices[Group],MATCH(Vertices[[#This Row],[Vertex]],GroupVertices[Vertex],0)),1,1,"")</f>
        <v>5</v>
      </c>
      <c r="AP24" s="48">
        <v>0</v>
      </c>
      <c r="AQ24" s="49">
        <v>0</v>
      </c>
      <c r="AR24" s="48">
        <v>0</v>
      </c>
      <c r="AS24" s="49">
        <v>0</v>
      </c>
      <c r="AT24" s="48">
        <v>0</v>
      </c>
      <c r="AU24" s="49">
        <v>0</v>
      </c>
      <c r="AV24" s="48">
        <v>4</v>
      </c>
      <c r="AW24" s="49">
        <v>100</v>
      </c>
      <c r="AX24" s="48">
        <v>4</v>
      </c>
      <c r="AY24" s="48"/>
      <c r="AZ24" s="48"/>
      <c r="BA24" s="48"/>
      <c r="BB24" s="48"/>
      <c r="BC24" s="2"/>
      <c r="BD24" s="3"/>
      <c r="BE24" s="3"/>
      <c r="BF24" s="3"/>
      <c r="BG24" s="3"/>
    </row>
    <row r="25" spans="1:59" ht="15">
      <c r="A25" s="65" t="s">
        <v>251</v>
      </c>
      <c r="B25" s="66"/>
      <c r="C25" s="66"/>
      <c r="D25" s="67">
        <v>115.28660844552182</v>
      </c>
      <c r="E25" s="69"/>
      <c r="F25" s="98" t="str">
        <f>HYPERLINK("https://i.ytimg.com/vi/i1Bm6cmY6Ro/default.jpg")</f>
        <v>https://i.ytimg.com/vi/i1Bm6cmY6Ro/default.jpg</v>
      </c>
      <c r="G25" s="66"/>
      <c r="H25" s="70" t="s">
        <v>527</v>
      </c>
      <c r="I25" s="71"/>
      <c r="J25" s="71" t="s">
        <v>159</v>
      </c>
      <c r="K25" s="70" t="s">
        <v>527</v>
      </c>
      <c r="L25" s="74">
        <v>909.9090909090909</v>
      </c>
      <c r="M25" s="75">
        <v>5410.1787109375</v>
      </c>
      <c r="N25" s="75">
        <v>4280.98095703125</v>
      </c>
      <c r="O25" s="76"/>
      <c r="P25" s="77"/>
      <c r="Q25" s="77"/>
      <c r="R25" s="91"/>
      <c r="S25" s="48">
        <v>1</v>
      </c>
      <c r="T25" s="48">
        <v>0</v>
      </c>
      <c r="U25" s="49">
        <v>0</v>
      </c>
      <c r="V25" s="49">
        <v>0.000872</v>
      </c>
      <c r="W25" s="49">
        <v>0.002117</v>
      </c>
      <c r="X25" s="49">
        <v>0.38313</v>
      </c>
      <c r="Y25" s="49">
        <v>0</v>
      </c>
      <c r="Z25" s="49">
        <v>0</v>
      </c>
      <c r="AA25" s="72">
        <v>25</v>
      </c>
      <c r="AB25" s="72"/>
      <c r="AC25" s="73"/>
      <c r="AD25" s="88" t="s">
        <v>527</v>
      </c>
      <c r="AE25" s="88" t="s">
        <v>804</v>
      </c>
      <c r="AF25" s="88" t="s">
        <v>1078</v>
      </c>
      <c r="AG25" s="88" t="s">
        <v>1320</v>
      </c>
      <c r="AH25" s="88" t="s">
        <v>1446</v>
      </c>
      <c r="AI25" s="88">
        <v>325645</v>
      </c>
      <c r="AJ25" s="88">
        <v>5029</v>
      </c>
      <c r="AK25" s="88">
        <v>3661</v>
      </c>
      <c r="AL25" s="88">
        <v>1280</v>
      </c>
      <c r="AM25" s="88" t="s">
        <v>1705</v>
      </c>
      <c r="AN25" s="100" t="str">
        <f>HYPERLINK("https://www.youtube.com/watch?v=i1Bm6cmY6Ro")</f>
        <v>https://www.youtube.com/watch?v=i1Bm6cmY6Ro</v>
      </c>
      <c r="AO25" s="88" t="str">
        <f>REPLACE(INDEX(GroupVertices[Group],MATCH(Vertices[[#This Row],[Vertex]],GroupVertices[Vertex],0)),1,1,"")</f>
        <v>5</v>
      </c>
      <c r="AP25" s="48">
        <v>1</v>
      </c>
      <c r="AQ25" s="49">
        <v>3.4482758620689653</v>
      </c>
      <c r="AR25" s="48">
        <v>0</v>
      </c>
      <c r="AS25" s="49">
        <v>0</v>
      </c>
      <c r="AT25" s="48">
        <v>0</v>
      </c>
      <c r="AU25" s="49">
        <v>0</v>
      </c>
      <c r="AV25" s="48">
        <v>28</v>
      </c>
      <c r="AW25" s="49">
        <v>96.55172413793103</v>
      </c>
      <c r="AX25" s="48">
        <v>29</v>
      </c>
      <c r="AY25" s="48"/>
      <c r="AZ25" s="48"/>
      <c r="BA25" s="48"/>
      <c r="BB25" s="48"/>
      <c r="BC25" s="2"/>
      <c r="BD25" s="3"/>
      <c r="BE25" s="3"/>
      <c r="BF25" s="3"/>
      <c r="BG25" s="3"/>
    </row>
    <row r="26" spans="1:59" ht="15">
      <c r="A26" s="65" t="s">
        <v>252</v>
      </c>
      <c r="B26" s="66"/>
      <c r="C26" s="66"/>
      <c r="D26" s="67">
        <v>323.89782584928355</v>
      </c>
      <c r="E26" s="69"/>
      <c r="F26" s="98" t="str">
        <f>HYPERLINK("https://i.ytimg.com/vi/KzKvIYwqQkE/default.jpg")</f>
        <v>https://i.ytimg.com/vi/KzKvIYwqQkE/default.jpg</v>
      </c>
      <c r="G26" s="66"/>
      <c r="H26" s="70" t="s">
        <v>528</v>
      </c>
      <c r="I26" s="71"/>
      <c r="J26" s="71" t="s">
        <v>159</v>
      </c>
      <c r="K26" s="70" t="s">
        <v>528</v>
      </c>
      <c r="L26" s="74">
        <v>909.9090909090909</v>
      </c>
      <c r="M26" s="75">
        <v>5657.6083984375</v>
      </c>
      <c r="N26" s="75">
        <v>4499.63623046875</v>
      </c>
      <c r="O26" s="76"/>
      <c r="P26" s="77"/>
      <c r="Q26" s="77"/>
      <c r="R26" s="91"/>
      <c r="S26" s="48">
        <v>1</v>
      </c>
      <c r="T26" s="48">
        <v>0</v>
      </c>
      <c r="U26" s="49">
        <v>0</v>
      </c>
      <c r="V26" s="49">
        <v>0.000872</v>
      </c>
      <c r="W26" s="49">
        <v>0.002117</v>
      </c>
      <c r="X26" s="49">
        <v>0.38313</v>
      </c>
      <c r="Y26" s="49">
        <v>0</v>
      </c>
      <c r="Z26" s="49">
        <v>0</v>
      </c>
      <c r="AA26" s="72">
        <v>26</v>
      </c>
      <c r="AB26" s="72"/>
      <c r="AC26" s="73"/>
      <c r="AD26" s="88" t="s">
        <v>528</v>
      </c>
      <c r="AE26" s="88" t="s">
        <v>805</v>
      </c>
      <c r="AF26" s="88" t="s">
        <v>1079</v>
      </c>
      <c r="AG26" s="88" t="s">
        <v>1321</v>
      </c>
      <c r="AH26" s="88" t="s">
        <v>1447</v>
      </c>
      <c r="AI26" s="88">
        <v>2250332</v>
      </c>
      <c r="AJ26" s="88">
        <v>10916</v>
      </c>
      <c r="AK26" s="88">
        <v>45427</v>
      </c>
      <c r="AL26" s="88">
        <v>3223</v>
      </c>
      <c r="AM26" s="88" t="s">
        <v>1705</v>
      </c>
      <c r="AN26" s="100" t="str">
        <f>HYPERLINK("https://www.youtube.com/watch?v=KzKvIYwqQkE")</f>
        <v>https://www.youtube.com/watch?v=KzKvIYwqQkE</v>
      </c>
      <c r="AO26" s="88" t="str">
        <f>REPLACE(INDEX(GroupVertices[Group],MATCH(Vertices[[#This Row],[Vertex]],GroupVertices[Vertex],0)),1,1,"")</f>
        <v>5</v>
      </c>
      <c r="AP26" s="48">
        <v>0</v>
      </c>
      <c r="AQ26" s="49">
        <v>0</v>
      </c>
      <c r="AR26" s="48">
        <v>2</v>
      </c>
      <c r="AS26" s="49">
        <v>3.389830508474576</v>
      </c>
      <c r="AT26" s="48">
        <v>0</v>
      </c>
      <c r="AU26" s="49">
        <v>0</v>
      </c>
      <c r="AV26" s="48">
        <v>57</v>
      </c>
      <c r="AW26" s="49">
        <v>96.61016949152543</v>
      </c>
      <c r="AX26" s="48">
        <v>59</v>
      </c>
      <c r="AY26" s="48"/>
      <c r="AZ26" s="48"/>
      <c r="BA26" s="48"/>
      <c r="BB26" s="48"/>
      <c r="BC26" s="2"/>
      <c r="BD26" s="3"/>
      <c r="BE26" s="3"/>
      <c r="BF26" s="3"/>
      <c r="BG26" s="3"/>
    </row>
    <row r="27" spans="1:59" ht="15">
      <c r="A27" s="65" t="s">
        <v>253</v>
      </c>
      <c r="B27" s="66"/>
      <c r="C27" s="66"/>
      <c r="D27" s="67">
        <v>80.19845675637976</v>
      </c>
      <c r="E27" s="69"/>
      <c r="F27" s="98" t="str">
        <f>HYPERLINK("https://i.ytimg.com/vi/rsMQdEuS2mI/default.jpg")</f>
        <v>https://i.ytimg.com/vi/rsMQdEuS2mI/default.jpg</v>
      </c>
      <c r="G27" s="66"/>
      <c r="H27" s="70" t="s">
        <v>529</v>
      </c>
      <c r="I27" s="71"/>
      <c r="J27" s="71" t="s">
        <v>159</v>
      </c>
      <c r="K27" s="70" t="s">
        <v>529</v>
      </c>
      <c r="L27" s="74">
        <v>909.9090909090909</v>
      </c>
      <c r="M27" s="75">
        <v>4432.45166015625</v>
      </c>
      <c r="N27" s="75">
        <v>3271.4013671875</v>
      </c>
      <c r="O27" s="76"/>
      <c r="P27" s="77"/>
      <c r="Q27" s="77"/>
      <c r="R27" s="91"/>
      <c r="S27" s="48">
        <v>1</v>
      </c>
      <c r="T27" s="48">
        <v>0</v>
      </c>
      <c r="U27" s="49">
        <v>0</v>
      </c>
      <c r="V27" s="49">
        <v>0.000872</v>
      </c>
      <c r="W27" s="49">
        <v>0.002117</v>
      </c>
      <c r="X27" s="49">
        <v>0.38313</v>
      </c>
      <c r="Y27" s="49">
        <v>0</v>
      </c>
      <c r="Z27" s="49">
        <v>0</v>
      </c>
      <c r="AA27" s="72">
        <v>27</v>
      </c>
      <c r="AB27" s="72"/>
      <c r="AC27" s="73"/>
      <c r="AD27" s="88" t="s">
        <v>529</v>
      </c>
      <c r="AE27" s="88" t="s">
        <v>806</v>
      </c>
      <c r="AF27" s="88" t="s">
        <v>1080</v>
      </c>
      <c r="AG27" s="88" t="s">
        <v>1322</v>
      </c>
      <c r="AH27" s="88" t="s">
        <v>1448</v>
      </c>
      <c r="AI27" s="88">
        <v>1915</v>
      </c>
      <c r="AJ27" s="88">
        <v>5</v>
      </c>
      <c r="AK27" s="88">
        <v>14</v>
      </c>
      <c r="AL27" s="88">
        <v>2</v>
      </c>
      <c r="AM27" s="88" t="s">
        <v>1705</v>
      </c>
      <c r="AN27" s="100" t="str">
        <f>HYPERLINK("https://www.youtube.com/watch?v=rsMQdEuS2mI")</f>
        <v>https://www.youtube.com/watch?v=rsMQdEuS2mI</v>
      </c>
      <c r="AO27" s="88" t="str">
        <f>REPLACE(INDEX(GroupVertices[Group],MATCH(Vertices[[#This Row],[Vertex]],GroupVertices[Vertex],0)),1,1,"")</f>
        <v>5</v>
      </c>
      <c r="AP27" s="48">
        <v>0</v>
      </c>
      <c r="AQ27" s="49">
        <v>0</v>
      </c>
      <c r="AR27" s="48">
        <v>0</v>
      </c>
      <c r="AS27" s="49">
        <v>0</v>
      </c>
      <c r="AT27" s="48">
        <v>0</v>
      </c>
      <c r="AU27" s="49">
        <v>0</v>
      </c>
      <c r="AV27" s="48">
        <v>3</v>
      </c>
      <c r="AW27" s="49">
        <v>100</v>
      </c>
      <c r="AX27" s="48">
        <v>3</v>
      </c>
      <c r="AY27" s="48"/>
      <c r="AZ27" s="48"/>
      <c r="BA27" s="48"/>
      <c r="BB27" s="48"/>
      <c r="BC27" s="2"/>
      <c r="BD27" s="3"/>
      <c r="BE27" s="3"/>
      <c r="BF27" s="3"/>
      <c r="BG27" s="3"/>
    </row>
    <row r="28" spans="1:59" ht="15">
      <c r="A28" s="65" t="s">
        <v>254</v>
      </c>
      <c r="B28" s="66"/>
      <c r="C28" s="66"/>
      <c r="D28" s="67">
        <v>80.23964384945694</v>
      </c>
      <c r="E28" s="69"/>
      <c r="F28" s="98" t="str">
        <f>HYPERLINK("https://i.ytimg.com/vi/UiJf7YBOhAc/default.jpg")</f>
        <v>https://i.ytimg.com/vi/UiJf7YBOhAc/default.jpg</v>
      </c>
      <c r="G28" s="66"/>
      <c r="H28" s="70" t="s">
        <v>530</v>
      </c>
      <c r="I28" s="71"/>
      <c r="J28" s="71" t="s">
        <v>159</v>
      </c>
      <c r="K28" s="70" t="s">
        <v>530</v>
      </c>
      <c r="L28" s="74">
        <v>909.9090909090909</v>
      </c>
      <c r="M28" s="75">
        <v>4929.12646484375</v>
      </c>
      <c r="N28" s="75">
        <v>3149.973876953125</v>
      </c>
      <c r="O28" s="76"/>
      <c r="P28" s="77"/>
      <c r="Q28" s="77"/>
      <c r="R28" s="91"/>
      <c r="S28" s="48">
        <v>1</v>
      </c>
      <c r="T28" s="48">
        <v>0</v>
      </c>
      <c r="U28" s="49">
        <v>0</v>
      </c>
      <c r="V28" s="49">
        <v>0.000872</v>
      </c>
      <c r="W28" s="49">
        <v>0.002117</v>
      </c>
      <c r="X28" s="49">
        <v>0.38313</v>
      </c>
      <c r="Y28" s="49">
        <v>0</v>
      </c>
      <c r="Z28" s="49">
        <v>0</v>
      </c>
      <c r="AA28" s="72">
        <v>28</v>
      </c>
      <c r="AB28" s="72"/>
      <c r="AC28" s="73"/>
      <c r="AD28" s="88" t="s">
        <v>530</v>
      </c>
      <c r="AE28" s="88" t="s">
        <v>807</v>
      </c>
      <c r="AF28" s="88" t="s">
        <v>1081</v>
      </c>
      <c r="AG28" s="88" t="s">
        <v>1323</v>
      </c>
      <c r="AH28" s="88" t="s">
        <v>1449</v>
      </c>
      <c r="AI28" s="88">
        <v>2295</v>
      </c>
      <c r="AJ28" s="88">
        <v>3</v>
      </c>
      <c r="AK28" s="88">
        <v>14</v>
      </c>
      <c r="AL28" s="88">
        <v>1</v>
      </c>
      <c r="AM28" s="88" t="s">
        <v>1705</v>
      </c>
      <c r="AN28" s="100" t="str">
        <f>HYPERLINK("https://www.youtube.com/watch?v=UiJf7YBOhAc")</f>
        <v>https://www.youtube.com/watch?v=UiJf7YBOhAc</v>
      </c>
      <c r="AO28" s="88" t="str">
        <f>REPLACE(INDEX(GroupVertices[Group],MATCH(Vertices[[#This Row],[Vertex]],GroupVertices[Vertex],0)),1,1,"")</f>
        <v>5</v>
      </c>
      <c r="AP28" s="48">
        <v>0</v>
      </c>
      <c r="AQ28" s="49">
        <v>0</v>
      </c>
      <c r="AR28" s="48">
        <v>0</v>
      </c>
      <c r="AS28" s="49">
        <v>0</v>
      </c>
      <c r="AT28" s="48">
        <v>0</v>
      </c>
      <c r="AU28" s="49">
        <v>0</v>
      </c>
      <c r="AV28" s="48">
        <v>1</v>
      </c>
      <c r="AW28" s="49">
        <v>100</v>
      </c>
      <c r="AX28" s="48">
        <v>1</v>
      </c>
      <c r="AY28" s="48"/>
      <c r="AZ28" s="48"/>
      <c r="BA28" s="48"/>
      <c r="BB28" s="48"/>
      <c r="BC28" s="2"/>
      <c r="BD28" s="3"/>
      <c r="BE28" s="3"/>
      <c r="BF28" s="3"/>
      <c r="BG28" s="3"/>
    </row>
    <row r="29" spans="1:59" ht="15">
      <c r="A29" s="65" t="s">
        <v>255</v>
      </c>
      <c r="B29" s="66"/>
      <c r="C29" s="66"/>
      <c r="D29" s="67">
        <v>1000</v>
      </c>
      <c r="E29" s="69"/>
      <c r="F29" s="98" t="str">
        <f>HYPERLINK("https://i.ytimg.com/vi/BtN-goy9VOY/default.jpg")</f>
        <v>https://i.ytimg.com/vi/BtN-goy9VOY/default.jpg</v>
      </c>
      <c r="G29" s="66"/>
      <c r="H29" s="70" t="s">
        <v>531</v>
      </c>
      <c r="I29" s="71"/>
      <c r="J29" s="71" t="s">
        <v>159</v>
      </c>
      <c r="K29" s="70" t="s">
        <v>531</v>
      </c>
      <c r="L29" s="74">
        <v>909.9090909090909</v>
      </c>
      <c r="M29" s="75">
        <v>5547.01904296875</v>
      </c>
      <c r="N29" s="75">
        <v>4880.7021484375</v>
      </c>
      <c r="O29" s="76"/>
      <c r="P29" s="77"/>
      <c r="Q29" s="77"/>
      <c r="R29" s="91"/>
      <c r="S29" s="48">
        <v>1</v>
      </c>
      <c r="T29" s="48">
        <v>0</v>
      </c>
      <c r="U29" s="49">
        <v>0</v>
      </c>
      <c r="V29" s="49">
        <v>0.000872</v>
      </c>
      <c r="W29" s="49">
        <v>0.002117</v>
      </c>
      <c r="X29" s="49">
        <v>0.38313</v>
      </c>
      <c r="Y29" s="49">
        <v>0</v>
      </c>
      <c r="Z29" s="49">
        <v>0</v>
      </c>
      <c r="AA29" s="72">
        <v>29</v>
      </c>
      <c r="AB29" s="72"/>
      <c r="AC29" s="73"/>
      <c r="AD29" s="88" t="s">
        <v>531</v>
      </c>
      <c r="AE29" s="88" t="s">
        <v>808</v>
      </c>
      <c r="AF29" s="88" t="s">
        <v>1082</v>
      </c>
      <c r="AG29" s="88" t="s">
        <v>1324</v>
      </c>
      <c r="AH29" s="88" t="s">
        <v>1450</v>
      </c>
      <c r="AI29" s="88">
        <v>25393773</v>
      </c>
      <c r="AJ29" s="88">
        <v>51091</v>
      </c>
      <c r="AK29" s="88">
        <v>889203</v>
      </c>
      <c r="AL29" s="88">
        <v>11477</v>
      </c>
      <c r="AM29" s="88" t="s">
        <v>1705</v>
      </c>
      <c r="AN29" s="100" t="str">
        <f>HYPERLINK("https://www.youtube.com/watch?v=BtN-goy9VOY")</f>
        <v>https://www.youtube.com/watch?v=BtN-goy9VOY</v>
      </c>
      <c r="AO29" s="88" t="str">
        <f>REPLACE(INDEX(GroupVertices[Group],MATCH(Vertices[[#This Row],[Vertex]],GroupVertices[Vertex],0)),1,1,"")</f>
        <v>5</v>
      </c>
      <c r="AP29" s="48">
        <v>0</v>
      </c>
      <c r="AQ29" s="49">
        <v>0</v>
      </c>
      <c r="AR29" s="48">
        <v>9</v>
      </c>
      <c r="AS29" s="49">
        <v>18.367346938775512</v>
      </c>
      <c r="AT29" s="48">
        <v>0</v>
      </c>
      <c r="AU29" s="49">
        <v>0</v>
      </c>
      <c r="AV29" s="48">
        <v>40</v>
      </c>
      <c r="AW29" s="49">
        <v>81.63265306122449</v>
      </c>
      <c r="AX29" s="48">
        <v>49</v>
      </c>
      <c r="AY29" s="48"/>
      <c r="AZ29" s="48"/>
      <c r="BA29" s="48"/>
      <c r="BB29" s="48"/>
      <c r="BC29" s="2"/>
      <c r="BD29" s="3"/>
      <c r="BE29" s="3"/>
      <c r="BF29" s="3"/>
      <c r="BG29" s="3"/>
    </row>
    <row r="30" spans="1:59" ht="15">
      <c r="A30" s="65" t="s">
        <v>256</v>
      </c>
      <c r="B30" s="66"/>
      <c r="C30" s="66"/>
      <c r="D30" s="67">
        <v>448.5469862734823</v>
      </c>
      <c r="E30" s="69"/>
      <c r="F30" s="98" t="str">
        <f>HYPERLINK("https://i.ytimg.com/vi/U8r3oTVMtQ0/default.jpg")</f>
        <v>https://i.ytimg.com/vi/U8r3oTVMtQ0/default.jpg</v>
      </c>
      <c r="G30" s="66"/>
      <c r="H30" s="70" t="s">
        <v>532</v>
      </c>
      <c r="I30" s="71"/>
      <c r="J30" s="71" t="s">
        <v>75</v>
      </c>
      <c r="K30" s="70" t="s">
        <v>532</v>
      </c>
      <c r="L30" s="74">
        <v>4545.545454545455</v>
      </c>
      <c r="M30" s="75">
        <v>1256.263427734375</v>
      </c>
      <c r="N30" s="75">
        <v>6263.1103515625</v>
      </c>
      <c r="O30" s="76"/>
      <c r="P30" s="77"/>
      <c r="Q30" s="77"/>
      <c r="R30" s="91"/>
      <c r="S30" s="48">
        <v>5</v>
      </c>
      <c r="T30" s="48">
        <v>0</v>
      </c>
      <c r="U30" s="49">
        <v>810.970563</v>
      </c>
      <c r="V30" s="49">
        <v>0.001037</v>
      </c>
      <c r="W30" s="49">
        <v>0.014084</v>
      </c>
      <c r="X30" s="49">
        <v>1.24726</v>
      </c>
      <c r="Y30" s="49">
        <v>0.1</v>
      </c>
      <c r="Z30" s="49">
        <v>0</v>
      </c>
      <c r="AA30" s="72">
        <v>30</v>
      </c>
      <c r="AB30" s="72"/>
      <c r="AC30" s="73"/>
      <c r="AD30" s="88" t="s">
        <v>532</v>
      </c>
      <c r="AE30" s="88" t="s">
        <v>809</v>
      </c>
      <c r="AF30" s="88" t="s">
        <v>1083</v>
      </c>
      <c r="AG30" s="88" t="s">
        <v>1325</v>
      </c>
      <c r="AH30" s="88" t="s">
        <v>1451</v>
      </c>
      <c r="AI30" s="88">
        <v>3400369</v>
      </c>
      <c r="AJ30" s="88">
        <v>4382</v>
      </c>
      <c r="AK30" s="88">
        <v>28575</v>
      </c>
      <c r="AL30" s="88">
        <v>1695</v>
      </c>
      <c r="AM30" s="88" t="s">
        <v>1705</v>
      </c>
      <c r="AN30" s="100" t="str">
        <f>HYPERLINK("https://www.youtube.com/watch?v=U8r3oTVMtQ0")</f>
        <v>https://www.youtube.com/watch?v=U8r3oTVMtQ0</v>
      </c>
      <c r="AO30" s="88" t="str">
        <f>REPLACE(INDEX(GroupVertices[Group],MATCH(Vertices[[#This Row],[Vertex]],GroupVertices[Vertex],0)),1,1,"")</f>
        <v>1</v>
      </c>
      <c r="AP30" s="48">
        <v>2</v>
      </c>
      <c r="AQ30" s="49">
        <v>3.225806451612903</v>
      </c>
      <c r="AR30" s="48">
        <v>8</v>
      </c>
      <c r="AS30" s="49">
        <v>12.903225806451612</v>
      </c>
      <c r="AT30" s="48">
        <v>0</v>
      </c>
      <c r="AU30" s="49">
        <v>0</v>
      </c>
      <c r="AV30" s="48">
        <v>52</v>
      </c>
      <c r="AW30" s="49">
        <v>83.87096774193549</v>
      </c>
      <c r="AX30" s="48">
        <v>62</v>
      </c>
      <c r="AY30" s="48"/>
      <c r="AZ30" s="48"/>
      <c r="BA30" s="48"/>
      <c r="BB30" s="48"/>
      <c r="BC30" s="2"/>
      <c r="BD30" s="3"/>
      <c r="BE30" s="3"/>
      <c r="BF30" s="3"/>
      <c r="BG30" s="3"/>
    </row>
    <row r="31" spans="1:59" ht="15">
      <c r="A31" s="65" t="s">
        <v>257</v>
      </c>
      <c r="B31" s="66"/>
      <c r="C31" s="66"/>
      <c r="D31" s="67">
        <v>114.60452850674639</v>
      </c>
      <c r="E31" s="69"/>
      <c r="F31" s="98" t="str">
        <f>HYPERLINK("https://i.ytimg.com/vi/qsp6PikjDOw/default.jpg")</f>
        <v>https://i.ytimg.com/vi/qsp6PikjDOw/default.jpg</v>
      </c>
      <c r="G31" s="66"/>
      <c r="H31" s="70" t="s">
        <v>533</v>
      </c>
      <c r="I31" s="71"/>
      <c r="J31" s="71" t="s">
        <v>75</v>
      </c>
      <c r="K31" s="70" t="s">
        <v>533</v>
      </c>
      <c r="L31" s="74">
        <v>6363.363636363636</v>
      </c>
      <c r="M31" s="75">
        <v>1119.9033203125</v>
      </c>
      <c r="N31" s="75">
        <v>2598.5087890625</v>
      </c>
      <c r="O31" s="76"/>
      <c r="P31" s="77"/>
      <c r="Q31" s="77"/>
      <c r="R31" s="91"/>
      <c r="S31" s="48">
        <v>7</v>
      </c>
      <c r="T31" s="48">
        <v>0</v>
      </c>
      <c r="U31" s="49">
        <v>2244.228606</v>
      </c>
      <c r="V31" s="49">
        <v>0.001105</v>
      </c>
      <c r="W31" s="49">
        <v>0.018817</v>
      </c>
      <c r="X31" s="49">
        <v>1.695976</v>
      </c>
      <c r="Y31" s="49">
        <v>0.047619047619047616</v>
      </c>
      <c r="Z31" s="49">
        <v>0</v>
      </c>
      <c r="AA31" s="72">
        <v>31</v>
      </c>
      <c r="AB31" s="72"/>
      <c r="AC31" s="73"/>
      <c r="AD31" s="88" t="s">
        <v>533</v>
      </c>
      <c r="AE31" s="88" t="s">
        <v>810</v>
      </c>
      <c r="AF31" s="88" t="s">
        <v>1084</v>
      </c>
      <c r="AG31" s="88" t="s">
        <v>1326</v>
      </c>
      <c r="AH31" s="88" t="s">
        <v>1452</v>
      </c>
      <c r="AI31" s="88">
        <v>319352</v>
      </c>
      <c r="AJ31" s="88">
        <v>1401</v>
      </c>
      <c r="AK31" s="88">
        <v>2575</v>
      </c>
      <c r="AL31" s="88">
        <v>553</v>
      </c>
      <c r="AM31" s="88" t="s">
        <v>1705</v>
      </c>
      <c r="AN31" s="100" t="str">
        <f>HYPERLINK("https://www.youtube.com/watch?v=qsp6PikjDOw")</f>
        <v>https://www.youtube.com/watch?v=qsp6PikjDOw</v>
      </c>
      <c r="AO31" s="88" t="str">
        <f>REPLACE(INDEX(GroupVertices[Group],MATCH(Vertices[[#This Row],[Vertex]],GroupVertices[Vertex],0)),1,1,"")</f>
        <v>2</v>
      </c>
      <c r="AP31" s="48">
        <v>0</v>
      </c>
      <c r="AQ31" s="49">
        <v>0</v>
      </c>
      <c r="AR31" s="48">
        <v>1</v>
      </c>
      <c r="AS31" s="49">
        <v>5.882352941176471</v>
      </c>
      <c r="AT31" s="48">
        <v>0</v>
      </c>
      <c r="AU31" s="49">
        <v>0</v>
      </c>
      <c r="AV31" s="48">
        <v>16</v>
      </c>
      <c r="AW31" s="49">
        <v>94.11764705882354</v>
      </c>
      <c r="AX31" s="48">
        <v>17</v>
      </c>
      <c r="AY31" s="48"/>
      <c r="AZ31" s="48"/>
      <c r="BA31" s="48"/>
      <c r="BB31" s="48"/>
      <c r="BC31" s="2"/>
      <c r="BD31" s="3"/>
      <c r="BE31" s="3"/>
      <c r="BF31" s="3"/>
      <c r="BG31" s="3"/>
    </row>
    <row r="32" spans="1:59" ht="15">
      <c r="A32" s="65" t="s">
        <v>258</v>
      </c>
      <c r="B32" s="66"/>
      <c r="C32" s="66"/>
      <c r="D32" s="67">
        <v>80.82352508736942</v>
      </c>
      <c r="E32" s="69"/>
      <c r="F32" s="98" t="str">
        <f>HYPERLINK("https://i.ytimg.com/vi/HSRNPqNnF1o/default.jpg")</f>
        <v>https://i.ytimg.com/vi/HSRNPqNnF1o/default.jpg</v>
      </c>
      <c r="G32" s="66"/>
      <c r="H32" s="70" t="s">
        <v>534</v>
      </c>
      <c r="I32" s="71"/>
      <c r="J32" s="71" t="s">
        <v>75</v>
      </c>
      <c r="K32" s="70" t="s">
        <v>534</v>
      </c>
      <c r="L32" s="74">
        <v>1818.8181818181818</v>
      </c>
      <c r="M32" s="75">
        <v>5115.56787109375</v>
      </c>
      <c r="N32" s="75">
        <v>9537.4873046875</v>
      </c>
      <c r="O32" s="76"/>
      <c r="P32" s="77"/>
      <c r="Q32" s="77"/>
      <c r="R32" s="91"/>
      <c r="S32" s="48">
        <v>2</v>
      </c>
      <c r="T32" s="48">
        <v>0</v>
      </c>
      <c r="U32" s="49">
        <v>982.871329</v>
      </c>
      <c r="V32" s="49">
        <v>0.000903</v>
      </c>
      <c r="W32" s="49">
        <v>0.002316</v>
      </c>
      <c r="X32" s="49">
        <v>0.73828</v>
      </c>
      <c r="Y32" s="49">
        <v>0</v>
      </c>
      <c r="Z32" s="49">
        <v>0</v>
      </c>
      <c r="AA32" s="72">
        <v>32</v>
      </c>
      <c r="AB32" s="72"/>
      <c r="AC32" s="73"/>
      <c r="AD32" s="88" t="s">
        <v>534</v>
      </c>
      <c r="AE32" s="88" t="s">
        <v>811</v>
      </c>
      <c r="AF32" s="88" t="s">
        <v>1085</v>
      </c>
      <c r="AG32" s="88" t="s">
        <v>1309</v>
      </c>
      <c r="AH32" s="88" t="s">
        <v>1453</v>
      </c>
      <c r="AI32" s="88">
        <v>7682</v>
      </c>
      <c r="AJ32" s="88">
        <v>191</v>
      </c>
      <c r="AK32" s="88">
        <v>238</v>
      </c>
      <c r="AL32" s="88">
        <v>19</v>
      </c>
      <c r="AM32" s="88" t="s">
        <v>1705</v>
      </c>
      <c r="AN32" s="100" t="str">
        <f>HYPERLINK("https://www.youtube.com/watch?v=HSRNPqNnF1o")</f>
        <v>https://www.youtube.com/watch?v=HSRNPqNnF1o</v>
      </c>
      <c r="AO32" s="88" t="str">
        <f>REPLACE(INDEX(GroupVertices[Group],MATCH(Vertices[[#This Row],[Vertex]],GroupVertices[Vertex],0)),1,1,"")</f>
        <v>3</v>
      </c>
      <c r="AP32" s="48">
        <v>0</v>
      </c>
      <c r="AQ32" s="49">
        <v>0</v>
      </c>
      <c r="AR32" s="48">
        <v>0</v>
      </c>
      <c r="AS32" s="49">
        <v>0</v>
      </c>
      <c r="AT32" s="48">
        <v>0</v>
      </c>
      <c r="AU32" s="49">
        <v>0</v>
      </c>
      <c r="AV32" s="48">
        <v>7</v>
      </c>
      <c r="AW32" s="49">
        <v>100</v>
      </c>
      <c r="AX32" s="48">
        <v>7</v>
      </c>
      <c r="AY32" s="48"/>
      <c r="AZ32" s="48"/>
      <c r="BA32" s="48"/>
      <c r="BB32" s="48"/>
      <c r="BC32" s="2"/>
      <c r="BD32" s="3"/>
      <c r="BE32" s="3"/>
      <c r="BF32" s="3"/>
      <c r="BG32" s="3"/>
    </row>
    <row r="33" spans="1:59" ht="15">
      <c r="A33" s="65" t="s">
        <v>259</v>
      </c>
      <c r="B33" s="66"/>
      <c r="C33" s="66"/>
      <c r="D33" s="67">
        <v>80.06373160718258</v>
      </c>
      <c r="E33" s="69"/>
      <c r="F33" s="98" t="str">
        <f>HYPERLINK("https://i.ytimg.com/vi/gFTNagGYppQ/default_live.jpg")</f>
        <v>https://i.ytimg.com/vi/gFTNagGYppQ/default_live.jpg</v>
      </c>
      <c r="G33" s="66"/>
      <c r="H33" s="70" t="s">
        <v>535</v>
      </c>
      <c r="I33" s="71"/>
      <c r="J33" s="71" t="s">
        <v>75</v>
      </c>
      <c r="K33" s="70" t="s">
        <v>535</v>
      </c>
      <c r="L33" s="74">
        <v>6363.363636363636</v>
      </c>
      <c r="M33" s="75">
        <v>810.0682983398438</v>
      </c>
      <c r="N33" s="75">
        <v>2385.123046875</v>
      </c>
      <c r="O33" s="76"/>
      <c r="P33" s="77"/>
      <c r="Q33" s="77"/>
      <c r="R33" s="91"/>
      <c r="S33" s="48">
        <v>7</v>
      </c>
      <c r="T33" s="48">
        <v>0</v>
      </c>
      <c r="U33" s="49">
        <v>4079.573885</v>
      </c>
      <c r="V33" s="49">
        <v>0.001152</v>
      </c>
      <c r="W33" s="49">
        <v>0.016073</v>
      </c>
      <c r="X33" s="49">
        <v>1.786452</v>
      </c>
      <c r="Y33" s="49">
        <v>0.023809523809523808</v>
      </c>
      <c r="Z33" s="49">
        <v>0</v>
      </c>
      <c r="AA33" s="72">
        <v>33</v>
      </c>
      <c r="AB33" s="72"/>
      <c r="AC33" s="73"/>
      <c r="AD33" s="88" t="s">
        <v>535</v>
      </c>
      <c r="AE33" s="88" t="s">
        <v>812</v>
      </c>
      <c r="AF33" s="88" t="s">
        <v>1086</v>
      </c>
      <c r="AG33" s="88" t="s">
        <v>1327</v>
      </c>
      <c r="AH33" s="88" t="s">
        <v>1454</v>
      </c>
      <c r="AI33" s="88">
        <v>672</v>
      </c>
      <c r="AJ33" s="88">
        <v>0</v>
      </c>
      <c r="AK33" s="88">
        <v>74</v>
      </c>
      <c r="AL33" s="88">
        <v>10</v>
      </c>
      <c r="AM33" s="88" t="s">
        <v>1705</v>
      </c>
      <c r="AN33" s="100" t="str">
        <f>HYPERLINK("https://www.youtube.com/watch?v=gFTNagGYppQ")</f>
        <v>https://www.youtube.com/watch?v=gFTNagGYppQ</v>
      </c>
      <c r="AO33" s="88" t="str">
        <f>REPLACE(INDEX(GroupVertices[Group],MATCH(Vertices[[#This Row],[Vertex]],GroupVertices[Vertex],0)),1,1,"")</f>
        <v>2</v>
      </c>
      <c r="AP33" s="48">
        <v>0</v>
      </c>
      <c r="AQ33" s="49">
        <v>0</v>
      </c>
      <c r="AR33" s="48">
        <v>6</v>
      </c>
      <c r="AS33" s="49">
        <v>8.450704225352112</v>
      </c>
      <c r="AT33" s="48">
        <v>0</v>
      </c>
      <c r="AU33" s="49">
        <v>0</v>
      </c>
      <c r="AV33" s="48">
        <v>65</v>
      </c>
      <c r="AW33" s="49">
        <v>91.54929577464789</v>
      </c>
      <c r="AX33" s="48">
        <v>71</v>
      </c>
      <c r="AY33" s="48"/>
      <c r="AZ33" s="48"/>
      <c r="BA33" s="48"/>
      <c r="BB33" s="48"/>
      <c r="BC33" s="2"/>
      <c r="BD33" s="3"/>
      <c r="BE33" s="3"/>
      <c r="BF33" s="3"/>
      <c r="BG33" s="3"/>
    </row>
    <row r="34" spans="1:59" ht="15">
      <c r="A34" s="65" t="s">
        <v>260</v>
      </c>
      <c r="B34" s="66"/>
      <c r="C34" s="66"/>
      <c r="D34" s="67">
        <v>1000</v>
      </c>
      <c r="E34" s="69"/>
      <c r="F34" s="98" t="str">
        <f>HYPERLINK("https://i.ytimg.com/vi/-LKVUarhtvE/default.jpg")</f>
        <v>https://i.ytimg.com/vi/-LKVUarhtvE/default.jpg</v>
      </c>
      <c r="G34" s="66"/>
      <c r="H34" s="70" t="s">
        <v>536</v>
      </c>
      <c r="I34" s="71"/>
      <c r="J34" s="71" t="s">
        <v>75</v>
      </c>
      <c r="K34" s="70" t="s">
        <v>536</v>
      </c>
      <c r="L34" s="74">
        <v>1818.8181818181818</v>
      </c>
      <c r="M34" s="75">
        <v>5340.13330078125</v>
      </c>
      <c r="N34" s="75">
        <v>3503.05712890625</v>
      </c>
      <c r="O34" s="76"/>
      <c r="P34" s="77"/>
      <c r="Q34" s="77"/>
      <c r="R34" s="91"/>
      <c r="S34" s="48">
        <v>2</v>
      </c>
      <c r="T34" s="48">
        <v>0</v>
      </c>
      <c r="U34" s="49">
        <v>165.636101</v>
      </c>
      <c r="V34" s="49">
        <v>0.000923</v>
      </c>
      <c r="W34" s="49">
        <v>0.00417</v>
      </c>
      <c r="X34" s="49">
        <v>0.615336</v>
      </c>
      <c r="Y34" s="49">
        <v>0</v>
      </c>
      <c r="Z34" s="49">
        <v>0</v>
      </c>
      <c r="AA34" s="72">
        <v>34</v>
      </c>
      <c r="AB34" s="72"/>
      <c r="AC34" s="73"/>
      <c r="AD34" s="88" t="s">
        <v>536</v>
      </c>
      <c r="AE34" s="88" t="s">
        <v>813</v>
      </c>
      <c r="AF34" s="88" t="s">
        <v>1087</v>
      </c>
      <c r="AG34" s="88" t="s">
        <v>1328</v>
      </c>
      <c r="AH34" s="88" t="s">
        <v>1455</v>
      </c>
      <c r="AI34" s="88">
        <v>9358951</v>
      </c>
      <c r="AJ34" s="88">
        <v>9981</v>
      </c>
      <c r="AK34" s="88">
        <v>208820</v>
      </c>
      <c r="AL34" s="88">
        <v>3758</v>
      </c>
      <c r="AM34" s="88" t="s">
        <v>1705</v>
      </c>
      <c r="AN34" s="100" t="str">
        <f>HYPERLINK("https://www.youtube.com/watch?v=-LKVUarhtvE")</f>
        <v>https://www.youtube.com/watch?v=-LKVUarhtvE</v>
      </c>
      <c r="AO34" s="88" t="str">
        <f>REPLACE(INDEX(GroupVertices[Group],MATCH(Vertices[[#This Row],[Vertex]],GroupVertices[Vertex],0)),1,1,"")</f>
        <v>5</v>
      </c>
      <c r="AP34" s="48">
        <v>0</v>
      </c>
      <c r="AQ34" s="49">
        <v>0</v>
      </c>
      <c r="AR34" s="48">
        <v>4</v>
      </c>
      <c r="AS34" s="49">
        <v>5.333333333333333</v>
      </c>
      <c r="AT34" s="48">
        <v>0</v>
      </c>
      <c r="AU34" s="49">
        <v>0</v>
      </c>
      <c r="AV34" s="48">
        <v>71</v>
      </c>
      <c r="AW34" s="49">
        <v>94.66666666666667</v>
      </c>
      <c r="AX34" s="48">
        <v>75</v>
      </c>
      <c r="AY34" s="48"/>
      <c r="AZ34" s="48"/>
      <c r="BA34" s="48"/>
      <c r="BB34" s="48"/>
      <c r="BC34" s="2"/>
      <c r="BD34" s="3"/>
      <c r="BE34" s="3"/>
      <c r="BF34" s="3"/>
      <c r="BG34" s="3"/>
    </row>
    <row r="35" spans="1:59" ht="15">
      <c r="A35" s="65" t="s">
        <v>261</v>
      </c>
      <c r="B35" s="66"/>
      <c r="C35" s="66"/>
      <c r="D35" s="67">
        <v>125.54219462173849</v>
      </c>
      <c r="E35" s="69"/>
      <c r="F35" s="98" t="str">
        <f>HYPERLINK("https://i.ytimg.com/vi/RusMz-PbB9Y/default.jpg")</f>
        <v>https://i.ytimg.com/vi/RusMz-PbB9Y/default.jpg</v>
      </c>
      <c r="G35" s="66"/>
      <c r="H35" s="70" t="s">
        <v>537</v>
      </c>
      <c r="I35" s="71"/>
      <c r="J35" s="71" t="s">
        <v>75</v>
      </c>
      <c r="K35" s="70" t="s">
        <v>537</v>
      </c>
      <c r="L35" s="74">
        <v>3636.6363636363635</v>
      </c>
      <c r="M35" s="75">
        <v>4496.2373046875</v>
      </c>
      <c r="N35" s="75">
        <v>4857.07861328125</v>
      </c>
      <c r="O35" s="76"/>
      <c r="P35" s="77"/>
      <c r="Q35" s="77"/>
      <c r="R35" s="91"/>
      <c r="S35" s="48">
        <v>4</v>
      </c>
      <c r="T35" s="48">
        <v>0</v>
      </c>
      <c r="U35" s="49">
        <v>1998.795981</v>
      </c>
      <c r="V35" s="49">
        <v>0.001083</v>
      </c>
      <c r="W35" s="49">
        <v>0.009624</v>
      </c>
      <c r="X35" s="49">
        <v>1.088286</v>
      </c>
      <c r="Y35" s="49">
        <v>0.08333333333333333</v>
      </c>
      <c r="Z35" s="49">
        <v>0</v>
      </c>
      <c r="AA35" s="72">
        <v>35</v>
      </c>
      <c r="AB35" s="72"/>
      <c r="AC35" s="73"/>
      <c r="AD35" s="88" t="s">
        <v>537</v>
      </c>
      <c r="AE35" s="88" t="s">
        <v>814</v>
      </c>
      <c r="AF35" s="88" t="s">
        <v>1088</v>
      </c>
      <c r="AG35" s="88" t="s">
        <v>1329</v>
      </c>
      <c r="AH35" s="88" t="s">
        <v>1456</v>
      </c>
      <c r="AI35" s="88">
        <v>420265</v>
      </c>
      <c r="AJ35" s="88">
        <v>836</v>
      </c>
      <c r="AK35" s="88">
        <v>3464</v>
      </c>
      <c r="AL35" s="88">
        <v>354</v>
      </c>
      <c r="AM35" s="88" t="s">
        <v>1705</v>
      </c>
      <c r="AN35" s="100" t="str">
        <f>HYPERLINK("https://www.youtube.com/watch?v=RusMz-PbB9Y")</f>
        <v>https://www.youtube.com/watch?v=RusMz-PbB9Y</v>
      </c>
      <c r="AO35" s="88" t="str">
        <f>REPLACE(INDEX(GroupVertices[Group],MATCH(Vertices[[#This Row],[Vertex]],GroupVertices[Vertex],0)),1,1,"")</f>
        <v>5</v>
      </c>
      <c r="AP35" s="48">
        <v>0</v>
      </c>
      <c r="AQ35" s="49">
        <v>0</v>
      </c>
      <c r="AR35" s="48">
        <v>4</v>
      </c>
      <c r="AS35" s="49">
        <v>9.090909090909092</v>
      </c>
      <c r="AT35" s="48">
        <v>0</v>
      </c>
      <c r="AU35" s="49">
        <v>0</v>
      </c>
      <c r="AV35" s="48">
        <v>40</v>
      </c>
      <c r="AW35" s="49">
        <v>90.9090909090909</v>
      </c>
      <c r="AX35" s="48">
        <v>44</v>
      </c>
      <c r="AY35" s="48"/>
      <c r="AZ35" s="48"/>
      <c r="BA35" s="48"/>
      <c r="BB35" s="48"/>
      <c r="BC35" s="2"/>
      <c r="BD35" s="3"/>
      <c r="BE35" s="3"/>
      <c r="BF35" s="3"/>
      <c r="BG35" s="3"/>
    </row>
    <row r="36" spans="1:59" ht="15">
      <c r="A36" s="65" t="s">
        <v>262</v>
      </c>
      <c r="B36" s="66"/>
      <c r="C36" s="66"/>
      <c r="D36" s="67">
        <v>194.09388395230212</v>
      </c>
      <c r="E36" s="69"/>
      <c r="F36" s="98" t="str">
        <f>HYPERLINK("https://i.ytimg.com/vi/EQ-ATT_Cd6M/default.jpg")</f>
        <v>https://i.ytimg.com/vi/EQ-ATT_Cd6M/default.jpg</v>
      </c>
      <c r="G36" s="66"/>
      <c r="H36" s="70" t="s">
        <v>538</v>
      </c>
      <c r="I36" s="71"/>
      <c r="J36" s="71" t="s">
        <v>75</v>
      </c>
      <c r="K36" s="70" t="s">
        <v>538</v>
      </c>
      <c r="L36" s="74">
        <v>9999</v>
      </c>
      <c r="M36" s="75">
        <v>1474.4921875</v>
      </c>
      <c r="N36" s="75">
        <v>2184.00146484375</v>
      </c>
      <c r="O36" s="76"/>
      <c r="P36" s="77"/>
      <c r="Q36" s="77"/>
      <c r="R36" s="91"/>
      <c r="S36" s="48">
        <v>11</v>
      </c>
      <c r="T36" s="48">
        <v>0</v>
      </c>
      <c r="U36" s="49">
        <v>6041.33243</v>
      </c>
      <c r="V36" s="49">
        <v>0.001206</v>
      </c>
      <c r="W36" s="49">
        <v>0.029077</v>
      </c>
      <c r="X36" s="49">
        <v>2.645301</v>
      </c>
      <c r="Y36" s="49">
        <v>0.10909090909090909</v>
      </c>
      <c r="Z36" s="49">
        <v>0</v>
      </c>
      <c r="AA36" s="72">
        <v>36</v>
      </c>
      <c r="AB36" s="72"/>
      <c r="AC36" s="73"/>
      <c r="AD36" s="88" t="s">
        <v>538</v>
      </c>
      <c r="AE36" s="88" t="s">
        <v>815</v>
      </c>
      <c r="AF36" s="88" t="s">
        <v>1089</v>
      </c>
      <c r="AG36" s="88" t="s">
        <v>1330</v>
      </c>
      <c r="AH36" s="88" t="s">
        <v>1457</v>
      </c>
      <c r="AI36" s="88">
        <v>1052736</v>
      </c>
      <c r="AJ36" s="88">
        <v>0</v>
      </c>
      <c r="AK36" s="88">
        <v>8668</v>
      </c>
      <c r="AL36" s="88">
        <v>1177</v>
      </c>
      <c r="AM36" s="88" t="s">
        <v>1705</v>
      </c>
      <c r="AN36" s="100" t="str">
        <f>HYPERLINK("https://www.youtube.com/watch?v=EQ-ATT_Cd6M")</f>
        <v>https://www.youtube.com/watch?v=EQ-ATT_Cd6M</v>
      </c>
      <c r="AO36" s="88" t="str">
        <f>REPLACE(INDEX(GroupVertices[Group],MATCH(Vertices[[#This Row],[Vertex]],GroupVertices[Vertex],0)),1,1,"")</f>
        <v>2</v>
      </c>
      <c r="AP36" s="48">
        <v>0</v>
      </c>
      <c r="AQ36" s="49">
        <v>0</v>
      </c>
      <c r="AR36" s="48">
        <v>1</v>
      </c>
      <c r="AS36" s="49">
        <v>8.333333333333334</v>
      </c>
      <c r="AT36" s="48">
        <v>0</v>
      </c>
      <c r="AU36" s="49">
        <v>0</v>
      </c>
      <c r="AV36" s="48">
        <v>11</v>
      </c>
      <c r="AW36" s="49">
        <v>91.66666666666667</v>
      </c>
      <c r="AX36" s="48">
        <v>12</v>
      </c>
      <c r="AY36" s="48"/>
      <c r="AZ36" s="48"/>
      <c r="BA36" s="48"/>
      <c r="BB36" s="48"/>
      <c r="BC36" s="2"/>
      <c r="BD36" s="3"/>
      <c r="BE36" s="3"/>
      <c r="BF36" s="3"/>
      <c r="BG36" s="3"/>
    </row>
    <row r="37" spans="1:59" ht="15">
      <c r="A37" s="65" t="s">
        <v>263</v>
      </c>
      <c r="B37" s="66"/>
      <c r="C37" s="66"/>
      <c r="D37" s="67">
        <v>80.05170064052056</v>
      </c>
      <c r="E37" s="69"/>
      <c r="F37" s="98" t="str">
        <f>HYPERLINK("https://i.ytimg.com/vi/6hu-X-GHyXo/default.jpg")</f>
        <v>https://i.ytimg.com/vi/6hu-X-GHyXo/default.jpg</v>
      </c>
      <c r="G37" s="66"/>
      <c r="H37" s="70" t="s">
        <v>539</v>
      </c>
      <c r="I37" s="71"/>
      <c r="J37" s="71" t="s">
        <v>75</v>
      </c>
      <c r="K37" s="70" t="s">
        <v>539</v>
      </c>
      <c r="L37" s="74">
        <v>1818.8181818181818</v>
      </c>
      <c r="M37" s="75">
        <v>4666.36083984375</v>
      </c>
      <c r="N37" s="75">
        <v>3340.24267578125</v>
      </c>
      <c r="O37" s="76"/>
      <c r="P37" s="77"/>
      <c r="Q37" s="77"/>
      <c r="R37" s="91"/>
      <c r="S37" s="48">
        <v>2</v>
      </c>
      <c r="T37" s="48">
        <v>0</v>
      </c>
      <c r="U37" s="49">
        <v>1211.357903</v>
      </c>
      <c r="V37" s="49">
        <v>0.000903</v>
      </c>
      <c r="W37" s="49">
        <v>0.002695</v>
      </c>
      <c r="X37" s="49">
        <v>0.70727</v>
      </c>
      <c r="Y37" s="49">
        <v>0</v>
      </c>
      <c r="Z37" s="49">
        <v>0</v>
      </c>
      <c r="AA37" s="72">
        <v>37</v>
      </c>
      <c r="AB37" s="72"/>
      <c r="AC37" s="73"/>
      <c r="AD37" s="88" t="s">
        <v>539</v>
      </c>
      <c r="AE37" s="88" t="s">
        <v>816</v>
      </c>
      <c r="AF37" s="88" t="s">
        <v>1090</v>
      </c>
      <c r="AG37" s="88" t="s">
        <v>1331</v>
      </c>
      <c r="AH37" s="88" t="s">
        <v>1458</v>
      </c>
      <c r="AI37" s="88">
        <v>561</v>
      </c>
      <c r="AJ37" s="88">
        <v>0</v>
      </c>
      <c r="AK37" s="88">
        <v>8</v>
      </c>
      <c r="AL37" s="88">
        <v>0</v>
      </c>
      <c r="AM37" s="88" t="s">
        <v>1705</v>
      </c>
      <c r="AN37" s="100" t="str">
        <f>HYPERLINK("https://www.youtube.com/watch?v=6hu-X-GHyXo")</f>
        <v>https://www.youtube.com/watch?v=6hu-X-GHyXo</v>
      </c>
      <c r="AO37" s="88" t="str">
        <f>REPLACE(INDEX(GroupVertices[Group],MATCH(Vertices[[#This Row],[Vertex]],GroupVertices[Vertex],0)),1,1,"")</f>
        <v>5</v>
      </c>
      <c r="AP37" s="48">
        <v>0</v>
      </c>
      <c r="AQ37" s="49">
        <v>0</v>
      </c>
      <c r="AR37" s="48">
        <v>0</v>
      </c>
      <c r="AS37" s="49">
        <v>0</v>
      </c>
      <c r="AT37" s="48">
        <v>0</v>
      </c>
      <c r="AU37" s="49">
        <v>0</v>
      </c>
      <c r="AV37" s="48">
        <v>27</v>
      </c>
      <c r="AW37" s="49">
        <v>100</v>
      </c>
      <c r="AX37" s="48">
        <v>27</v>
      </c>
      <c r="AY37" s="48"/>
      <c r="AZ37" s="48"/>
      <c r="BA37" s="48"/>
      <c r="BB37" s="48"/>
      <c r="BC37" s="2"/>
      <c r="BD37" s="3"/>
      <c r="BE37" s="3"/>
      <c r="BF37" s="3"/>
      <c r="BG37" s="3"/>
    </row>
    <row r="38" spans="1:59" ht="15">
      <c r="A38" s="65" t="s">
        <v>264</v>
      </c>
      <c r="B38" s="66"/>
      <c r="C38" s="66"/>
      <c r="D38" s="67">
        <v>86.10468590364671</v>
      </c>
      <c r="E38" s="69"/>
      <c r="F38" s="98" t="str">
        <f>HYPERLINK("https://i.ytimg.com/vi/gMrn1vJuQaw/default.jpg")</f>
        <v>https://i.ytimg.com/vi/gMrn1vJuQaw/default.jpg</v>
      </c>
      <c r="G38" s="66"/>
      <c r="H38" s="70" t="s">
        <v>540</v>
      </c>
      <c r="I38" s="71"/>
      <c r="J38" s="71" t="s">
        <v>75</v>
      </c>
      <c r="K38" s="70" t="s">
        <v>540</v>
      </c>
      <c r="L38" s="74">
        <v>4545.545454545455</v>
      </c>
      <c r="M38" s="75">
        <v>4325.8828125</v>
      </c>
      <c r="N38" s="75">
        <v>4620.0009765625</v>
      </c>
      <c r="O38" s="76"/>
      <c r="P38" s="77"/>
      <c r="Q38" s="77"/>
      <c r="R38" s="91"/>
      <c r="S38" s="48">
        <v>5</v>
      </c>
      <c r="T38" s="48">
        <v>0</v>
      </c>
      <c r="U38" s="49">
        <v>438.509633</v>
      </c>
      <c r="V38" s="49">
        <v>0.001067</v>
      </c>
      <c r="W38" s="49">
        <v>0.01389</v>
      </c>
      <c r="X38" s="49">
        <v>1.279343</v>
      </c>
      <c r="Y38" s="49">
        <v>0.2</v>
      </c>
      <c r="Z38" s="49">
        <v>0</v>
      </c>
      <c r="AA38" s="72">
        <v>38</v>
      </c>
      <c r="AB38" s="72"/>
      <c r="AC38" s="73"/>
      <c r="AD38" s="88" t="s">
        <v>540</v>
      </c>
      <c r="AE38" s="88" t="s">
        <v>817</v>
      </c>
      <c r="AF38" s="88" t="s">
        <v>1091</v>
      </c>
      <c r="AG38" s="88" t="s">
        <v>1332</v>
      </c>
      <c r="AH38" s="88" t="s">
        <v>1459</v>
      </c>
      <c r="AI38" s="88">
        <v>56407</v>
      </c>
      <c r="AJ38" s="88">
        <v>249</v>
      </c>
      <c r="AK38" s="88">
        <v>1319</v>
      </c>
      <c r="AL38" s="88">
        <v>52</v>
      </c>
      <c r="AM38" s="88" t="s">
        <v>1705</v>
      </c>
      <c r="AN38" s="100" t="str">
        <f>HYPERLINK("https://www.youtube.com/watch?v=gMrn1vJuQaw")</f>
        <v>https://www.youtube.com/watch?v=gMrn1vJuQaw</v>
      </c>
      <c r="AO38" s="88" t="str">
        <f>REPLACE(INDEX(GroupVertices[Group],MATCH(Vertices[[#This Row],[Vertex]],GroupVertices[Vertex],0)),1,1,"")</f>
        <v>5</v>
      </c>
      <c r="AP38" s="48">
        <v>0</v>
      </c>
      <c r="AQ38" s="49">
        <v>0</v>
      </c>
      <c r="AR38" s="48">
        <v>0</v>
      </c>
      <c r="AS38" s="49">
        <v>0</v>
      </c>
      <c r="AT38" s="48">
        <v>0</v>
      </c>
      <c r="AU38" s="49">
        <v>0</v>
      </c>
      <c r="AV38" s="48">
        <v>17</v>
      </c>
      <c r="AW38" s="49">
        <v>100</v>
      </c>
      <c r="AX38" s="48">
        <v>17</v>
      </c>
      <c r="AY38" s="48"/>
      <c r="AZ38" s="48"/>
      <c r="BA38" s="48"/>
      <c r="BB38" s="48"/>
      <c r="BC38" s="2"/>
      <c r="BD38" s="3"/>
      <c r="BE38" s="3"/>
      <c r="BF38" s="3"/>
      <c r="BG38" s="3"/>
    </row>
    <row r="39" spans="1:59" ht="15">
      <c r="A39" s="65" t="s">
        <v>265</v>
      </c>
      <c r="B39" s="66"/>
      <c r="C39" s="66"/>
      <c r="D39" s="67">
        <v>92.76875756353368</v>
      </c>
      <c r="E39" s="69"/>
      <c r="F39" s="98" t="str">
        <f>HYPERLINK("https://i.ytimg.com/vi/rReOtmupF3g/default.jpg")</f>
        <v>https://i.ytimg.com/vi/rReOtmupF3g/default.jpg</v>
      </c>
      <c r="G39" s="66"/>
      <c r="H39" s="70" t="s">
        <v>541</v>
      </c>
      <c r="I39" s="71"/>
      <c r="J39" s="71" t="s">
        <v>75</v>
      </c>
      <c r="K39" s="70" t="s">
        <v>541</v>
      </c>
      <c r="L39" s="74">
        <v>6363.363636363636</v>
      </c>
      <c r="M39" s="75">
        <v>4664.9912109375</v>
      </c>
      <c r="N39" s="75">
        <v>5099.51025390625</v>
      </c>
      <c r="O39" s="76"/>
      <c r="P39" s="77"/>
      <c r="Q39" s="77"/>
      <c r="R39" s="91"/>
      <c r="S39" s="48">
        <v>7</v>
      </c>
      <c r="T39" s="48">
        <v>0</v>
      </c>
      <c r="U39" s="49">
        <v>3159.41212</v>
      </c>
      <c r="V39" s="49">
        <v>0.001134</v>
      </c>
      <c r="W39" s="49">
        <v>0.017992</v>
      </c>
      <c r="X39" s="49">
        <v>1.760831</v>
      </c>
      <c r="Y39" s="49">
        <v>0.11904761904761904</v>
      </c>
      <c r="Z39" s="49">
        <v>0</v>
      </c>
      <c r="AA39" s="72">
        <v>39</v>
      </c>
      <c r="AB39" s="72"/>
      <c r="AC39" s="73"/>
      <c r="AD39" s="88" t="s">
        <v>541</v>
      </c>
      <c r="AE39" s="88" t="s">
        <v>818</v>
      </c>
      <c r="AF39" s="88" t="s">
        <v>1092</v>
      </c>
      <c r="AG39" s="88" t="s">
        <v>1333</v>
      </c>
      <c r="AH39" s="88" t="s">
        <v>1460</v>
      </c>
      <c r="AI39" s="88">
        <v>117891</v>
      </c>
      <c r="AJ39" s="88">
        <v>330</v>
      </c>
      <c r="AK39" s="88">
        <v>1183</v>
      </c>
      <c r="AL39" s="88">
        <v>83</v>
      </c>
      <c r="AM39" s="88" t="s">
        <v>1705</v>
      </c>
      <c r="AN39" s="100" t="str">
        <f>HYPERLINK("https://www.youtube.com/watch?v=rReOtmupF3g")</f>
        <v>https://www.youtube.com/watch?v=rReOtmupF3g</v>
      </c>
      <c r="AO39" s="88" t="str">
        <f>REPLACE(INDEX(GroupVertices[Group],MATCH(Vertices[[#This Row],[Vertex]],GroupVertices[Vertex],0)),1,1,"")</f>
        <v>5</v>
      </c>
      <c r="AP39" s="48">
        <v>0</v>
      </c>
      <c r="AQ39" s="49">
        <v>0</v>
      </c>
      <c r="AR39" s="48">
        <v>0</v>
      </c>
      <c r="AS39" s="49">
        <v>0</v>
      </c>
      <c r="AT39" s="48">
        <v>0</v>
      </c>
      <c r="AU39" s="49">
        <v>0</v>
      </c>
      <c r="AV39" s="48">
        <v>1</v>
      </c>
      <c r="AW39" s="49">
        <v>100</v>
      </c>
      <c r="AX39" s="48">
        <v>1</v>
      </c>
      <c r="AY39" s="48"/>
      <c r="AZ39" s="48"/>
      <c r="BA39" s="48"/>
      <c r="BB39" s="48"/>
      <c r="BC39" s="2"/>
      <c r="BD39" s="3"/>
      <c r="BE39" s="3"/>
      <c r="BF39" s="3"/>
      <c r="BG39" s="3"/>
    </row>
    <row r="40" spans="1:59" ht="15">
      <c r="A40" s="65" t="s">
        <v>266</v>
      </c>
      <c r="B40" s="66"/>
      <c r="C40" s="66"/>
      <c r="D40" s="67">
        <v>210.55116247507098</v>
      </c>
      <c r="E40" s="69"/>
      <c r="F40" s="98" t="str">
        <f>HYPERLINK("https://i.ytimg.com/vi/2qdd7kirwIk/default.jpg")</f>
        <v>https://i.ytimg.com/vi/2qdd7kirwIk/default.jpg</v>
      </c>
      <c r="G40" s="66"/>
      <c r="H40" s="70" t="s">
        <v>542</v>
      </c>
      <c r="I40" s="71"/>
      <c r="J40" s="71" t="s">
        <v>75</v>
      </c>
      <c r="K40" s="70" t="s">
        <v>542</v>
      </c>
      <c r="L40" s="74">
        <v>7272.272727272727</v>
      </c>
      <c r="M40" s="75">
        <v>1929.1815185546875</v>
      </c>
      <c r="N40" s="75">
        <v>3227.4267578125</v>
      </c>
      <c r="O40" s="76"/>
      <c r="P40" s="77"/>
      <c r="Q40" s="77"/>
      <c r="R40" s="91"/>
      <c r="S40" s="48">
        <v>8</v>
      </c>
      <c r="T40" s="48">
        <v>0</v>
      </c>
      <c r="U40" s="49">
        <v>3132.072087</v>
      </c>
      <c r="V40" s="49">
        <v>0.001163</v>
      </c>
      <c r="W40" s="49">
        <v>0.021146</v>
      </c>
      <c r="X40" s="49">
        <v>1.99816</v>
      </c>
      <c r="Y40" s="49">
        <v>0.14285714285714285</v>
      </c>
      <c r="Z40" s="49">
        <v>0</v>
      </c>
      <c r="AA40" s="72">
        <v>40</v>
      </c>
      <c r="AB40" s="72"/>
      <c r="AC40" s="73"/>
      <c r="AD40" s="88" t="s">
        <v>542</v>
      </c>
      <c r="AE40" s="88" t="s">
        <v>819</v>
      </c>
      <c r="AF40" s="88" t="s">
        <v>1093</v>
      </c>
      <c r="AG40" s="88" t="s">
        <v>1328</v>
      </c>
      <c r="AH40" s="88" t="s">
        <v>1461</v>
      </c>
      <c r="AI40" s="88">
        <v>1204574</v>
      </c>
      <c r="AJ40" s="88">
        <v>2430</v>
      </c>
      <c r="AK40" s="88">
        <v>30677</v>
      </c>
      <c r="AL40" s="88">
        <v>1483</v>
      </c>
      <c r="AM40" s="88" t="s">
        <v>1705</v>
      </c>
      <c r="AN40" s="100" t="str">
        <f>HYPERLINK("https://www.youtube.com/watch?v=2qdd7kirwIk")</f>
        <v>https://www.youtube.com/watch?v=2qdd7kirwIk</v>
      </c>
      <c r="AO40" s="88" t="str">
        <f>REPLACE(INDEX(GroupVertices[Group],MATCH(Vertices[[#This Row],[Vertex]],GroupVertices[Vertex],0)),1,1,"")</f>
        <v>2</v>
      </c>
      <c r="AP40" s="48">
        <v>0</v>
      </c>
      <c r="AQ40" s="49">
        <v>0</v>
      </c>
      <c r="AR40" s="48">
        <v>4</v>
      </c>
      <c r="AS40" s="49">
        <v>8.695652173913043</v>
      </c>
      <c r="AT40" s="48">
        <v>0</v>
      </c>
      <c r="AU40" s="49">
        <v>0</v>
      </c>
      <c r="AV40" s="48">
        <v>42</v>
      </c>
      <c r="AW40" s="49">
        <v>91.30434782608695</v>
      </c>
      <c r="AX40" s="48">
        <v>46</v>
      </c>
      <c r="AY40" s="48"/>
      <c r="AZ40" s="48"/>
      <c r="BA40" s="48"/>
      <c r="BB40" s="48"/>
      <c r="BC40" s="2"/>
      <c r="BD40" s="3"/>
      <c r="BE40" s="3"/>
      <c r="BF40" s="3"/>
      <c r="BG40" s="3"/>
    </row>
    <row r="41" spans="1:59" ht="15">
      <c r="A41" s="65" t="s">
        <v>267</v>
      </c>
      <c r="B41" s="66"/>
      <c r="C41" s="66"/>
      <c r="D41" s="67">
        <v>211.0154927559726</v>
      </c>
      <c r="E41" s="69"/>
      <c r="F41" s="98" t="str">
        <f>HYPERLINK("https://i.ytimg.com/vi/VSQnOS7t4Gg/default.jpg")</f>
        <v>https://i.ytimg.com/vi/VSQnOS7t4Gg/default.jpg</v>
      </c>
      <c r="G41" s="66"/>
      <c r="H41" s="70" t="s">
        <v>543</v>
      </c>
      <c r="I41" s="71"/>
      <c r="J41" s="71" t="s">
        <v>75</v>
      </c>
      <c r="K41" s="70" t="s">
        <v>543</v>
      </c>
      <c r="L41" s="74">
        <v>3636.6363636363635</v>
      </c>
      <c r="M41" s="75">
        <v>8390.3037109375</v>
      </c>
      <c r="N41" s="75">
        <v>8013.2587890625</v>
      </c>
      <c r="O41" s="76"/>
      <c r="P41" s="77"/>
      <c r="Q41" s="77"/>
      <c r="R41" s="91"/>
      <c r="S41" s="48">
        <v>4</v>
      </c>
      <c r="T41" s="48">
        <v>0</v>
      </c>
      <c r="U41" s="49">
        <v>266.843514</v>
      </c>
      <c r="V41" s="49">
        <v>0.000985</v>
      </c>
      <c r="W41" s="49">
        <v>0.009898</v>
      </c>
      <c r="X41" s="49">
        <v>1.087522</v>
      </c>
      <c r="Y41" s="49">
        <v>0.25</v>
      </c>
      <c r="Z41" s="49">
        <v>0</v>
      </c>
      <c r="AA41" s="72">
        <v>41</v>
      </c>
      <c r="AB41" s="72"/>
      <c r="AC41" s="73"/>
      <c r="AD41" s="88" t="s">
        <v>543</v>
      </c>
      <c r="AE41" s="88" t="s">
        <v>820</v>
      </c>
      <c r="AF41" s="88" t="s">
        <v>1094</v>
      </c>
      <c r="AG41" s="88" t="s">
        <v>1334</v>
      </c>
      <c r="AH41" s="88" t="s">
        <v>1462</v>
      </c>
      <c r="AI41" s="88">
        <v>1208858</v>
      </c>
      <c r="AJ41" s="88">
        <v>1493</v>
      </c>
      <c r="AK41" s="88">
        <v>4024</v>
      </c>
      <c r="AL41" s="88">
        <v>1075</v>
      </c>
      <c r="AM41" s="88" t="s">
        <v>1705</v>
      </c>
      <c r="AN41" s="100" t="str">
        <f>HYPERLINK("https://www.youtube.com/watch?v=VSQnOS7t4Gg")</f>
        <v>https://www.youtube.com/watch?v=VSQnOS7t4Gg</v>
      </c>
      <c r="AO41" s="88" t="str">
        <f>REPLACE(INDEX(GroupVertices[Group],MATCH(Vertices[[#This Row],[Vertex]],GroupVertices[Vertex],0)),1,1,"")</f>
        <v>4</v>
      </c>
      <c r="AP41" s="48">
        <v>0</v>
      </c>
      <c r="AQ41" s="49">
        <v>0</v>
      </c>
      <c r="AR41" s="48">
        <v>1</v>
      </c>
      <c r="AS41" s="49">
        <v>9.090909090909092</v>
      </c>
      <c r="AT41" s="48">
        <v>0</v>
      </c>
      <c r="AU41" s="49">
        <v>0</v>
      </c>
      <c r="AV41" s="48">
        <v>10</v>
      </c>
      <c r="AW41" s="49">
        <v>90.9090909090909</v>
      </c>
      <c r="AX41" s="48">
        <v>11</v>
      </c>
      <c r="AY41" s="48"/>
      <c r="AZ41" s="48"/>
      <c r="BA41" s="48"/>
      <c r="BB41" s="48"/>
      <c r="BC41" s="2"/>
      <c r="BD41" s="3"/>
      <c r="BE41" s="3"/>
      <c r="BF41" s="3"/>
      <c r="BG41" s="3"/>
    </row>
    <row r="42" spans="1:59" ht="15">
      <c r="A42" s="65" t="s">
        <v>217</v>
      </c>
      <c r="B42" s="66"/>
      <c r="C42" s="66"/>
      <c r="D42" s="67">
        <v>88.76114502003747</v>
      </c>
      <c r="E42" s="69"/>
      <c r="F42" s="98" t="str">
        <f>HYPERLINK("https://i.ytimg.com/vi/0ugy24IQLDc/default.jpg")</f>
        <v>https://i.ytimg.com/vi/0ugy24IQLDc/default.jpg</v>
      </c>
      <c r="G42" s="66"/>
      <c r="H42" s="70" t="s">
        <v>544</v>
      </c>
      <c r="I42" s="71"/>
      <c r="J42" s="71" t="s">
        <v>75</v>
      </c>
      <c r="K42" s="70" t="s">
        <v>544</v>
      </c>
      <c r="L42" s="74">
        <v>2727.7272727272725</v>
      </c>
      <c r="M42" s="75">
        <v>8895.86328125</v>
      </c>
      <c r="N42" s="75">
        <v>7900.12451171875</v>
      </c>
      <c r="O42" s="76"/>
      <c r="P42" s="77"/>
      <c r="Q42" s="77"/>
      <c r="R42" s="91"/>
      <c r="S42" s="48">
        <v>3</v>
      </c>
      <c r="T42" s="48">
        <v>20</v>
      </c>
      <c r="U42" s="49">
        <v>7791.791423</v>
      </c>
      <c r="V42" s="49">
        <v>0.001114</v>
      </c>
      <c r="W42" s="49">
        <v>0.024635</v>
      </c>
      <c r="X42" s="49">
        <v>6.408907</v>
      </c>
      <c r="Y42" s="49">
        <v>0.03162055335968379</v>
      </c>
      <c r="Z42" s="49">
        <v>0</v>
      </c>
      <c r="AA42" s="72">
        <v>42</v>
      </c>
      <c r="AB42" s="72"/>
      <c r="AC42" s="73"/>
      <c r="AD42" s="88" t="s">
        <v>544</v>
      </c>
      <c r="AE42" s="88" t="s">
        <v>821</v>
      </c>
      <c r="AF42" s="88" t="s">
        <v>1095</v>
      </c>
      <c r="AG42" s="88" t="s">
        <v>1329</v>
      </c>
      <c r="AH42" s="88" t="s">
        <v>1463</v>
      </c>
      <c r="AI42" s="88">
        <v>80916</v>
      </c>
      <c r="AJ42" s="88">
        <v>181</v>
      </c>
      <c r="AK42" s="88">
        <v>850</v>
      </c>
      <c r="AL42" s="88">
        <v>73</v>
      </c>
      <c r="AM42" s="88" t="s">
        <v>1705</v>
      </c>
      <c r="AN42" s="100" t="str">
        <f>HYPERLINK("https://www.youtube.com/watch?v=0ugy24IQLDc")</f>
        <v>https://www.youtube.com/watch?v=0ugy24IQLDc</v>
      </c>
      <c r="AO42" s="88" t="str">
        <f>REPLACE(INDEX(GroupVertices[Group],MATCH(Vertices[[#This Row],[Vertex]],GroupVertices[Vertex],0)),1,1,"")</f>
        <v>4</v>
      </c>
      <c r="AP42" s="48">
        <v>0</v>
      </c>
      <c r="AQ42" s="49">
        <v>0</v>
      </c>
      <c r="AR42" s="48">
        <v>4</v>
      </c>
      <c r="AS42" s="49">
        <v>8.51063829787234</v>
      </c>
      <c r="AT42" s="48">
        <v>0</v>
      </c>
      <c r="AU42" s="49">
        <v>0</v>
      </c>
      <c r="AV42" s="48">
        <v>43</v>
      </c>
      <c r="AW42" s="49">
        <v>91.48936170212765</v>
      </c>
      <c r="AX42" s="48">
        <v>47</v>
      </c>
      <c r="AY42" s="121" t="s">
        <v>2747</v>
      </c>
      <c r="AZ42" s="121" t="s">
        <v>2747</v>
      </c>
      <c r="BA42" s="121" t="s">
        <v>2747</v>
      </c>
      <c r="BB42" s="121" t="s">
        <v>2747</v>
      </c>
      <c r="BC42" s="2"/>
      <c r="BD42" s="3"/>
      <c r="BE42" s="3"/>
      <c r="BF42" s="3"/>
      <c r="BG42" s="3"/>
    </row>
    <row r="43" spans="1:59" ht="15">
      <c r="A43" s="65" t="s">
        <v>268</v>
      </c>
      <c r="B43" s="66"/>
      <c r="C43" s="66"/>
      <c r="D43" s="67">
        <v>85.71936980920103</v>
      </c>
      <c r="E43" s="69"/>
      <c r="F43" s="98" t="str">
        <f>HYPERLINK("https://i.ytimg.com/vi/8FMChea-tw8/default.jpg")</f>
        <v>https://i.ytimg.com/vi/8FMChea-tw8/default.jpg</v>
      </c>
      <c r="G43" s="66"/>
      <c r="H43" s="70" t="s">
        <v>545</v>
      </c>
      <c r="I43" s="71"/>
      <c r="J43" s="71" t="s">
        <v>159</v>
      </c>
      <c r="K43" s="70" t="s">
        <v>545</v>
      </c>
      <c r="L43" s="74">
        <v>909.9090909090909</v>
      </c>
      <c r="M43" s="75">
        <v>5866.64697265625</v>
      </c>
      <c r="N43" s="75">
        <v>9299.70703125</v>
      </c>
      <c r="O43" s="76"/>
      <c r="P43" s="77"/>
      <c r="Q43" s="77"/>
      <c r="R43" s="91"/>
      <c r="S43" s="48">
        <v>1</v>
      </c>
      <c r="T43" s="48">
        <v>0</v>
      </c>
      <c r="U43" s="49">
        <v>0</v>
      </c>
      <c r="V43" s="49">
        <v>0.000712</v>
      </c>
      <c r="W43" s="49">
        <v>0.000199</v>
      </c>
      <c r="X43" s="49">
        <v>0.50515</v>
      </c>
      <c r="Y43" s="49">
        <v>0</v>
      </c>
      <c r="Z43" s="49">
        <v>0</v>
      </c>
      <c r="AA43" s="72">
        <v>43</v>
      </c>
      <c r="AB43" s="72"/>
      <c r="AC43" s="73"/>
      <c r="AD43" s="88" t="s">
        <v>545</v>
      </c>
      <c r="AE43" s="88" t="s">
        <v>822</v>
      </c>
      <c r="AF43" s="88" t="s">
        <v>1096</v>
      </c>
      <c r="AG43" s="88" t="s">
        <v>1317</v>
      </c>
      <c r="AH43" s="88" t="s">
        <v>1464</v>
      </c>
      <c r="AI43" s="88">
        <v>52852</v>
      </c>
      <c r="AJ43" s="88">
        <v>34</v>
      </c>
      <c r="AK43" s="88">
        <v>491</v>
      </c>
      <c r="AL43" s="88">
        <v>42</v>
      </c>
      <c r="AM43" s="88" t="s">
        <v>1705</v>
      </c>
      <c r="AN43" s="100" t="str">
        <f>HYPERLINK("https://www.youtube.com/watch?v=8FMChea-tw8")</f>
        <v>https://www.youtube.com/watch?v=8FMChea-tw8</v>
      </c>
      <c r="AO43" s="88" t="str">
        <f>REPLACE(INDEX(GroupVertices[Group],MATCH(Vertices[[#This Row],[Vertex]],GroupVertices[Vertex],0)),1,1,"")</f>
        <v>3</v>
      </c>
      <c r="AP43" s="48">
        <v>0</v>
      </c>
      <c r="AQ43" s="49">
        <v>0</v>
      </c>
      <c r="AR43" s="48">
        <v>0</v>
      </c>
      <c r="AS43" s="49">
        <v>0</v>
      </c>
      <c r="AT43" s="48">
        <v>0</v>
      </c>
      <c r="AU43" s="49">
        <v>0</v>
      </c>
      <c r="AV43" s="48">
        <v>17</v>
      </c>
      <c r="AW43" s="49">
        <v>100</v>
      </c>
      <c r="AX43" s="48">
        <v>17</v>
      </c>
      <c r="AY43" s="48"/>
      <c r="AZ43" s="48"/>
      <c r="BA43" s="48"/>
      <c r="BB43" s="48"/>
      <c r="BC43" s="2"/>
      <c r="BD43" s="3"/>
      <c r="BE43" s="3"/>
      <c r="BF43" s="3"/>
      <c r="BG43" s="3"/>
    </row>
    <row r="44" spans="1:59" ht="15">
      <c r="A44" s="65" t="s">
        <v>269</v>
      </c>
      <c r="B44" s="66"/>
      <c r="C44" s="66"/>
      <c r="D44" s="67">
        <v>92.95821819168869</v>
      </c>
      <c r="E44" s="69"/>
      <c r="F44" s="98" t="str">
        <f>HYPERLINK("https://i.ytimg.com/vi/Ib7PDYYXUkc/default.jpg")</f>
        <v>https://i.ytimg.com/vi/Ib7PDYYXUkc/default.jpg</v>
      </c>
      <c r="G44" s="66"/>
      <c r="H44" s="70" t="s">
        <v>546</v>
      </c>
      <c r="I44" s="71"/>
      <c r="J44" s="71" t="s">
        <v>159</v>
      </c>
      <c r="K44" s="70" t="s">
        <v>546</v>
      </c>
      <c r="L44" s="74">
        <v>909.9090909090909</v>
      </c>
      <c r="M44" s="75">
        <v>4856.09130859375</v>
      </c>
      <c r="N44" s="75">
        <v>9854.505859375</v>
      </c>
      <c r="O44" s="76"/>
      <c r="P44" s="77"/>
      <c r="Q44" s="77"/>
      <c r="R44" s="91"/>
      <c r="S44" s="48">
        <v>1</v>
      </c>
      <c r="T44" s="48">
        <v>0</v>
      </c>
      <c r="U44" s="49">
        <v>0</v>
      </c>
      <c r="V44" s="49">
        <v>0.000712</v>
      </c>
      <c r="W44" s="49">
        <v>0.000199</v>
      </c>
      <c r="X44" s="49">
        <v>0.50515</v>
      </c>
      <c r="Y44" s="49">
        <v>0</v>
      </c>
      <c r="Z44" s="49">
        <v>0</v>
      </c>
      <c r="AA44" s="72">
        <v>44</v>
      </c>
      <c r="AB44" s="72"/>
      <c r="AC44" s="73"/>
      <c r="AD44" s="88" t="s">
        <v>546</v>
      </c>
      <c r="AE44" s="88" t="s">
        <v>823</v>
      </c>
      <c r="AF44" s="88" t="s">
        <v>1097</v>
      </c>
      <c r="AG44" s="88" t="s">
        <v>1335</v>
      </c>
      <c r="AH44" s="88" t="s">
        <v>1465</v>
      </c>
      <c r="AI44" s="88">
        <v>119639</v>
      </c>
      <c r="AJ44" s="88">
        <v>107</v>
      </c>
      <c r="AK44" s="88">
        <v>625</v>
      </c>
      <c r="AL44" s="88">
        <v>102</v>
      </c>
      <c r="AM44" s="88" t="s">
        <v>1705</v>
      </c>
      <c r="AN44" s="100" t="str">
        <f>HYPERLINK("https://www.youtube.com/watch?v=Ib7PDYYXUkc")</f>
        <v>https://www.youtube.com/watch?v=Ib7PDYYXUkc</v>
      </c>
      <c r="AO44" s="88" t="str">
        <f>REPLACE(INDEX(GroupVertices[Group],MATCH(Vertices[[#This Row],[Vertex]],GroupVertices[Vertex],0)),1,1,"")</f>
        <v>3</v>
      </c>
      <c r="AP44" s="48">
        <v>0</v>
      </c>
      <c r="AQ44" s="49">
        <v>0</v>
      </c>
      <c r="AR44" s="48">
        <v>0</v>
      </c>
      <c r="AS44" s="49">
        <v>0</v>
      </c>
      <c r="AT44" s="48">
        <v>0</v>
      </c>
      <c r="AU44" s="49">
        <v>0</v>
      </c>
      <c r="AV44" s="48">
        <v>18</v>
      </c>
      <c r="AW44" s="49">
        <v>100</v>
      </c>
      <c r="AX44" s="48">
        <v>18</v>
      </c>
      <c r="AY44" s="48"/>
      <c r="AZ44" s="48"/>
      <c r="BA44" s="48"/>
      <c r="BB44" s="48"/>
      <c r="BC44" s="2"/>
      <c r="BD44" s="3"/>
      <c r="BE44" s="3"/>
      <c r="BF44" s="3"/>
      <c r="BG44" s="3"/>
    </row>
    <row r="45" spans="1:59" ht="15">
      <c r="A45" s="65" t="s">
        <v>270</v>
      </c>
      <c r="B45" s="66"/>
      <c r="C45" s="66"/>
      <c r="D45" s="67">
        <v>82.24513012105425</v>
      </c>
      <c r="E45" s="69"/>
      <c r="F45" s="98" t="str">
        <f>HYPERLINK("https://i.ytimg.com/vi/rcaUmNrtT4g/default.jpg")</f>
        <v>https://i.ytimg.com/vi/rcaUmNrtT4g/default.jpg</v>
      </c>
      <c r="G45" s="66"/>
      <c r="H45" s="70" t="s">
        <v>547</v>
      </c>
      <c r="I45" s="71"/>
      <c r="J45" s="71" t="s">
        <v>159</v>
      </c>
      <c r="K45" s="70" t="s">
        <v>547</v>
      </c>
      <c r="L45" s="74">
        <v>909.9090909090909</v>
      </c>
      <c r="M45" s="75">
        <v>4354.54345703125</v>
      </c>
      <c r="N45" s="75">
        <v>9340.7021484375</v>
      </c>
      <c r="O45" s="76"/>
      <c r="P45" s="77"/>
      <c r="Q45" s="77"/>
      <c r="R45" s="91"/>
      <c r="S45" s="48">
        <v>1</v>
      </c>
      <c r="T45" s="48">
        <v>0</v>
      </c>
      <c r="U45" s="49">
        <v>0</v>
      </c>
      <c r="V45" s="49">
        <v>0.000712</v>
      </c>
      <c r="W45" s="49">
        <v>0.000199</v>
      </c>
      <c r="X45" s="49">
        <v>0.50515</v>
      </c>
      <c r="Y45" s="49">
        <v>0</v>
      </c>
      <c r="Z45" s="49">
        <v>0</v>
      </c>
      <c r="AA45" s="72">
        <v>45</v>
      </c>
      <c r="AB45" s="72"/>
      <c r="AC45" s="73"/>
      <c r="AD45" s="88" t="s">
        <v>547</v>
      </c>
      <c r="AE45" s="88" t="s">
        <v>824</v>
      </c>
      <c r="AF45" s="88" t="s">
        <v>1098</v>
      </c>
      <c r="AG45" s="88" t="s">
        <v>1317</v>
      </c>
      <c r="AH45" s="88" t="s">
        <v>1466</v>
      </c>
      <c r="AI45" s="88">
        <v>20798</v>
      </c>
      <c r="AJ45" s="88">
        <v>9</v>
      </c>
      <c r="AK45" s="88">
        <v>240</v>
      </c>
      <c r="AL45" s="88">
        <v>11</v>
      </c>
      <c r="AM45" s="88" t="s">
        <v>1705</v>
      </c>
      <c r="AN45" s="100" t="str">
        <f>HYPERLINK("https://www.youtube.com/watch?v=rcaUmNrtT4g")</f>
        <v>https://www.youtube.com/watch?v=rcaUmNrtT4g</v>
      </c>
      <c r="AO45" s="88" t="str">
        <f>REPLACE(INDEX(GroupVertices[Group],MATCH(Vertices[[#This Row],[Vertex]],GroupVertices[Vertex],0)),1,1,"")</f>
        <v>3</v>
      </c>
      <c r="AP45" s="48">
        <v>0</v>
      </c>
      <c r="AQ45" s="49">
        <v>0</v>
      </c>
      <c r="AR45" s="48">
        <v>0</v>
      </c>
      <c r="AS45" s="49">
        <v>0</v>
      </c>
      <c r="AT45" s="48">
        <v>0</v>
      </c>
      <c r="AU45" s="49">
        <v>0</v>
      </c>
      <c r="AV45" s="48">
        <v>12</v>
      </c>
      <c r="AW45" s="49">
        <v>100</v>
      </c>
      <c r="AX45" s="48">
        <v>12</v>
      </c>
      <c r="AY45" s="48"/>
      <c r="AZ45" s="48"/>
      <c r="BA45" s="48"/>
      <c r="BB45" s="48"/>
      <c r="BC45" s="2"/>
      <c r="BD45" s="3"/>
      <c r="BE45" s="3"/>
      <c r="BF45" s="3"/>
      <c r="BG45" s="3"/>
    </row>
    <row r="46" spans="1:59" ht="15">
      <c r="A46" s="65" t="s">
        <v>271</v>
      </c>
      <c r="B46" s="66"/>
      <c r="C46" s="66"/>
      <c r="D46" s="67">
        <v>87.56628577245121</v>
      </c>
      <c r="E46" s="69"/>
      <c r="F46" s="98" t="str">
        <f>HYPERLINK("https://i.ytimg.com/vi/A32GwtJMxeI/default.jpg")</f>
        <v>https://i.ytimg.com/vi/A32GwtJMxeI/default.jpg</v>
      </c>
      <c r="G46" s="66"/>
      <c r="H46" s="70" t="s">
        <v>548</v>
      </c>
      <c r="I46" s="71"/>
      <c r="J46" s="71" t="s">
        <v>159</v>
      </c>
      <c r="K46" s="70" t="s">
        <v>548</v>
      </c>
      <c r="L46" s="74">
        <v>909.9090909090909</v>
      </c>
      <c r="M46" s="75">
        <v>4032.80908203125</v>
      </c>
      <c r="N46" s="75">
        <v>8931.4814453125</v>
      </c>
      <c r="O46" s="76"/>
      <c r="P46" s="77"/>
      <c r="Q46" s="77"/>
      <c r="R46" s="91"/>
      <c r="S46" s="48">
        <v>1</v>
      </c>
      <c r="T46" s="48">
        <v>0</v>
      </c>
      <c r="U46" s="49">
        <v>0</v>
      </c>
      <c r="V46" s="49">
        <v>0.000712</v>
      </c>
      <c r="W46" s="49">
        <v>0.000199</v>
      </c>
      <c r="X46" s="49">
        <v>0.50515</v>
      </c>
      <c r="Y46" s="49">
        <v>0</v>
      </c>
      <c r="Z46" s="49">
        <v>0</v>
      </c>
      <c r="AA46" s="72">
        <v>46</v>
      </c>
      <c r="AB46" s="72"/>
      <c r="AC46" s="73"/>
      <c r="AD46" s="88" t="s">
        <v>548</v>
      </c>
      <c r="AE46" s="88" t="s">
        <v>825</v>
      </c>
      <c r="AF46" s="88" t="s">
        <v>1099</v>
      </c>
      <c r="AG46" s="88" t="s">
        <v>1336</v>
      </c>
      <c r="AH46" s="88" t="s">
        <v>1467</v>
      </c>
      <c r="AI46" s="88">
        <v>69892</v>
      </c>
      <c r="AJ46" s="88">
        <v>232</v>
      </c>
      <c r="AK46" s="88">
        <v>1116</v>
      </c>
      <c r="AL46" s="88">
        <v>212</v>
      </c>
      <c r="AM46" s="88" t="s">
        <v>1705</v>
      </c>
      <c r="AN46" s="100" t="str">
        <f>HYPERLINK("https://www.youtube.com/watch?v=A32GwtJMxeI")</f>
        <v>https://www.youtube.com/watch?v=A32GwtJMxeI</v>
      </c>
      <c r="AO46" s="88" t="str">
        <f>REPLACE(INDEX(GroupVertices[Group],MATCH(Vertices[[#This Row],[Vertex]],GroupVertices[Vertex],0)),1,1,"")</f>
        <v>3</v>
      </c>
      <c r="AP46" s="48">
        <v>0</v>
      </c>
      <c r="AQ46" s="49">
        <v>0</v>
      </c>
      <c r="AR46" s="48">
        <v>1</v>
      </c>
      <c r="AS46" s="49">
        <v>5</v>
      </c>
      <c r="AT46" s="48">
        <v>0</v>
      </c>
      <c r="AU46" s="49">
        <v>0</v>
      </c>
      <c r="AV46" s="48">
        <v>19</v>
      </c>
      <c r="AW46" s="49">
        <v>95</v>
      </c>
      <c r="AX46" s="48">
        <v>20</v>
      </c>
      <c r="AY46" s="48"/>
      <c r="AZ46" s="48"/>
      <c r="BA46" s="48"/>
      <c r="BB46" s="48"/>
      <c r="BC46" s="2"/>
      <c r="BD46" s="3"/>
      <c r="BE46" s="3"/>
      <c r="BF46" s="3"/>
      <c r="BG46" s="3"/>
    </row>
    <row r="47" spans="1:59" ht="15">
      <c r="A47" s="65" t="s">
        <v>272</v>
      </c>
      <c r="B47" s="66"/>
      <c r="C47" s="66"/>
      <c r="D47" s="67">
        <v>92.20698729137843</v>
      </c>
      <c r="E47" s="69"/>
      <c r="F47" s="98" t="str">
        <f>HYPERLINK("https://i.ytimg.com/vi/HwGgmUly3lU/default.jpg")</f>
        <v>https://i.ytimg.com/vi/HwGgmUly3lU/default.jpg</v>
      </c>
      <c r="G47" s="66"/>
      <c r="H47" s="70" t="s">
        <v>549</v>
      </c>
      <c r="I47" s="71"/>
      <c r="J47" s="71" t="s">
        <v>159</v>
      </c>
      <c r="K47" s="70" t="s">
        <v>549</v>
      </c>
      <c r="L47" s="74">
        <v>909.9090909090909</v>
      </c>
      <c r="M47" s="75">
        <v>3322.38525390625</v>
      </c>
      <c r="N47" s="75">
        <v>8657.8671875</v>
      </c>
      <c r="O47" s="76"/>
      <c r="P47" s="77"/>
      <c r="Q47" s="77"/>
      <c r="R47" s="91"/>
      <c r="S47" s="48">
        <v>1</v>
      </c>
      <c r="T47" s="48">
        <v>0</v>
      </c>
      <c r="U47" s="49">
        <v>0</v>
      </c>
      <c r="V47" s="49">
        <v>0.000712</v>
      </c>
      <c r="W47" s="49">
        <v>0.000199</v>
      </c>
      <c r="X47" s="49">
        <v>0.50515</v>
      </c>
      <c r="Y47" s="49">
        <v>0</v>
      </c>
      <c r="Z47" s="49">
        <v>0</v>
      </c>
      <c r="AA47" s="72">
        <v>47</v>
      </c>
      <c r="AB47" s="72"/>
      <c r="AC47" s="73"/>
      <c r="AD47" s="88" t="s">
        <v>549</v>
      </c>
      <c r="AE47" s="88" t="s">
        <v>826</v>
      </c>
      <c r="AF47" s="88" t="s">
        <v>1100</v>
      </c>
      <c r="AG47" s="88" t="s">
        <v>1317</v>
      </c>
      <c r="AH47" s="88" t="s">
        <v>1468</v>
      </c>
      <c r="AI47" s="88">
        <v>112708</v>
      </c>
      <c r="AJ47" s="88">
        <v>71</v>
      </c>
      <c r="AK47" s="88">
        <v>1021</v>
      </c>
      <c r="AL47" s="88">
        <v>127</v>
      </c>
      <c r="AM47" s="88" t="s">
        <v>1705</v>
      </c>
      <c r="AN47" s="100" t="str">
        <f>HYPERLINK("https://www.youtube.com/watch?v=HwGgmUly3lU")</f>
        <v>https://www.youtube.com/watch?v=HwGgmUly3lU</v>
      </c>
      <c r="AO47" s="88" t="str">
        <f>REPLACE(INDEX(GroupVertices[Group],MATCH(Vertices[[#This Row],[Vertex]],GroupVertices[Vertex],0)),1,1,"")</f>
        <v>3</v>
      </c>
      <c r="AP47" s="48">
        <v>0</v>
      </c>
      <c r="AQ47" s="49">
        <v>0</v>
      </c>
      <c r="AR47" s="48">
        <v>0</v>
      </c>
      <c r="AS47" s="49">
        <v>0</v>
      </c>
      <c r="AT47" s="48">
        <v>0</v>
      </c>
      <c r="AU47" s="49">
        <v>0</v>
      </c>
      <c r="AV47" s="48">
        <v>6</v>
      </c>
      <c r="AW47" s="49">
        <v>100</v>
      </c>
      <c r="AX47" s="48">
        <v>6</v>
      </c>
      <c r="AY47" s="48"/>
      <c r="AZ47" s="48"/>
      <c r="BA47" s="48"/>
      <c r="BB47" s="48"/>
      <c r="BC47" s="2"/>
      <c r="BD47" s="3"/>
      <c r="BE47" s="3"/>
      <c r="BF47" s="3"/>
      <c r="BG47" s="3"/>
    </row>
    <row r="48" spans="1:59" ht="15">
      <c r="A48" s="65" t="s">
        <v>273</v>
      </c>
      <c r="B48" s="66"/>
      <c r="C48" s="66"/>
      <c r="D48" s="67">
        <v>92.25110083580581</v>
      </c>
      <c r="E48" s="69"/>
      <c r="F48" s="98" t="str">
        <f>HYPERLINK("https://i.ytimg.com/vi/EVRLZ_mEons/default.jpg")</f>
        <v>https://i.ytimg.com/vi/EVRLZ_mEons/default.jpg</v>
      </c>
      <c r="G48" s="66"/>
      <c r="H48" s="70" t="s">
        <v>550</v>
      </c>
      <c r="I48" s="71"/>
      <c r="J48" s="71" t="s">
        <v>159</v>
      </c>
      <c r="K48" s="70" t="s">
        <v>550</v>
      </c>
      <c r="L48" s="74">
        <v>909.9090909090909</v>
      </c>
      <c r="M48" s="75">
        <v>3622.843994140625</v>
      </c>
      <c r="N48" s="75">
        <v>7924.61181640625</v>
      </c>
      <c r="O48" s="76"/>
      <c r="P48" s="77"/>
      <c r="Q48" s="77"/>
      <c r="R48" s="91"/>
      <c r="S48" s="48">
        <v>1</v>
      </c>
      <c r="T48" s="48">
        <v>0</v>
      </c>
      <c r="U48" s="49">
        <v>0</v>
      </c>
      <c r="V48" s="49">
        <v>0.000712</v>
      </c>
      <c r="W48" s="49">
        <v>0.000199</v>
      </c>
      <c r="X48" s="49">
        <v>0.50515</v>
      </c>
      <c r="Y48" s="49">
        <v>0</v>
      </c>
      <c r="Z48" s="49">
        <v>0</v>
      </c>
      <c r="AA48" s="72">
        <v>48</v>
      </c>
      <c r="AB48" s="72"/>
      <c r="AC48" s="73"/>
      <c r="AD48" s="88" t="s">
        <v>550</v>
      </c>
      <c r="AE48" s="88" t="s">
        <v>827</v>
      </c>
      <c r="AF48" s="88" t="s">
        <v>1101</v>
      </c>
      <c r="AG48" s="88" t="s">
        <v>1317</v>
      </c>
      <c r="AH48" s="88" t="s">
        <v>1469</v>
      </c>
      <c r="AI48" s="88">
        <v>113115</v>
      </c>
      <c r="AJ48" s="88">
        <v>157</v>
      </c>
      <c r="AK48" s="88">
        <v>1923</v>
      </c>
      <c r="AL48" s="88">
        <v>115</v>
      </c>
      <c r="AM48" s="88" t="s">
        <v>1705</v>
      </c>
      <c r="AN48" s="100" t="str">
        <f>HYPERLINK("https://www.youtube.com/watch?v=EVRLZ_mEons")</f>
        <v>https://www.youtube.com/watch?v=EVRLZ_mEons</v>
      </c>
      <c r="AO48" s="88" t="str">
        <f>REPLACE(INDEX(GroupVertices[Group],MATCH(Vertices[[#This Row],[Vertex]],GroupVertices[Vertex],0)),1,1,"")</f>
        <v>3</v>
      </c>
      <c r="AP48" s="48">
        <v>0</v>
      </c>
      <c r="AQ48" s="49">
        <v>0</v>
      </c>
      <c r="AR48" s="48">
        <v>0</v>
      </c>
      <c r="AS48" s="49">
        <v>0</v>
      </c>
      <c r="AT48" s="48">
        <v>0</v>
      </c>
      <c r="AU48" s="49">
        <v>0</v>
      </c>
      <c r="AV48" s="48">
        <v>12</v>
      </c>
      <c r="AW48" s="49">
        <v>100</v>
      </c>
      <c r="AX48" s="48">
        <v>12</v>
      </c>
      <c r="AY48" s="48"/>
      <c r="AZ48" s="48"/>
      <c r="BA48" s="48"/>
      <c r="BB48" s="48"/>
      <c r="BC48" s="2"/>
      <c r="BD48" s="3"/>
      <c r="BE48" s="3"/>
      <c r="BF48" s="3"/>
      <c r="BG48" s="3"/>
    </row>
    <row r="49" spans="1:59" ht="15">
      <c r="A49" s="65" t="s">
        <v>274</v>
      </c>
      <c r="B49" s="66"/>
      <c r="C49" s="66"/>
      <c r="D49" s="67">
        <v>81.43775470965456</v>
      </c>
      <c r="E49" s="69"/>
      <c r="F49" s="98" t="str">
        <f>HYPERLINK("https://i.ytimg.com/vi/pXZSVXNmS7Y/default.jpg")</f>
        <v>https://i.ytimg.com/vi/pXZSVXNmS7Y/default.jpg</v>
      </c>
      <c r="G49" s="66"/>
      <c r="H49" s="70" t="s">
        <v>551</v>
      </c>
      <c r="I49" s="71"/>
      <c r="J49" s="71" t="s">
        <v>159</v>
      </c>
      <c r="K49" s="70" t="s">
        <v>551</v>
      </c>
      <c r="L49" s="74">
        <v>909.9090909090909</v>
      </c>
      <c r="M49" s="75">
        <v>3459.492919921875</v>
      </c>
      <c r="N49" s="75">
        <v>9015.58203125</v>
      </c>
      <c r="O49" s="76"/>
      <c r="P49" s="77"/>
      <c r="Q49" s="77"/>
      <c r="R49" s="91"/>
      <c r="S49" s="48">
        <v>1</v>
      </c>
      <c r="T49" s="48">
        <v>0</v>
      </c>
      <c r="U49" s="49">
        <v>0</v>
      </c>
      <c r="V49" s="49">
        <v>0.000712</v>
      </c>
      <c r="W49" s="49">
        <v>0.000199</v>
      </c>
      <c r="X49" s="49">
        <v>0.50515</v>
      </c>
      <c r="Y49" s="49">
        <v>0</v>
      </c>
      <c r="Z49" s="49">
        <v>0</v>
      </c>
      <c r="AA49" s="72">
        <v>49</v>
      </c>
      <c r="AB49" s="72"/>
      <c r="AC49" s="73"/>
      <c r="AD49" s="88" t="s">
        <v>551</v>
      </c>
      <c r="AE49" s="88" t="s">
        <v>828</v>
      </c>
      <c r="AF49" s="88" t="s">
        <v>1102</v>
      </c>
      <c r="AG49" s="88" t="s">
        <v>1337</v>
      </c>
      <c r="AH49" s="88" t="s">
        <v>1470</v>
      </c>
      <c r="AI49" s="88">
        <v>13349</v>
      </c>
      <c r="AJ49" s="88">
        <v>44</v>
      </c>
      <c r="AK49" s="88">
        <v>116</v>
      </c>
      <c r="AL49" s="88">
        <v>8</v>
      </c>
      <c r="AM49" s="88" t="s">
        <v>1705</v>
      </c>
      <c r="AN49" s="100" t="str">
        <f>HYPERLINK("https://www.youtube.com/watch?v=pXZSVXNmS7Y")</f>
        <v>https://www.youtube.com/watch?v=pXZSVXNmS7Y</v>
      </c>
      <c r="AO49" s="88" t="str">
        <f>REPLACE(INDEX(GroupVertices[Group],MATCH(Vertices[[#This Row],[Vertex]],GroupVertices[Vertex],0)),1,1,"")</f>
        <v>3</v>
      </c>
      <c r="AP49" s="48">
        <v>0</v>
      </c>
      <c r="AQ49" s="49">
        <v>0</v>
      </c>
      <c r="AR49" s="48">
        <v>0</v>
      </c>
      <c r="AS49" s="49">
        <v>0</v>
      </c>
      <c r="AT49" s="48">
        <v>0</v>
      </c>
      <c r="AU49" s="49">
        <v>0</v>
      </c>
      <c r="AV49" s="48">
        <v>17</v>
      </c>
      <c r="AW49" s="49">
        <v>100</v>
      </c>
      <c r="AX49" s="48">
        <v>17</v>
      </c>
      <c r="AY49" s="48"/>
      <c r="AZ49" s="48"/>
      <c r="BA49" s="48"/>
      <c r="BB49" s="48"/>
      <c r="BC49" s="2"/>
      <c r="BD49" s="3"/>
      <c r="BE49" s="3"/>
      <c r="BF49" s="3"/>
      <c r="BG49" s="3"/>
    </row>
    <row r="50" spans="1:59" ht="15">
      <c r="A50" s="65" t="s">
        <v>275</v>
      </c>
      <c r="B50" s="66"/>
      <c r="C50" s="66"/>
      <c r="D50" s="67">
        <v>90.64252807696803</v>
      </c>
      <c r="E50" s="69"/>
      <c r="F50" s="98" t="str">
        <f>HYPERLINK("https://i.ytimg.com/vi/oRNh_MqZjtQ/default.jpg")</f>
        <v>https://i.ytimg.com/vi/oRNh_MqZjtQ/default.jpg</v>
      </c>
      <c r="G50" s="66"/>
      <c r="H50" s="70" t="s">
        <v>552</v>
      </c>
      <c r="I50" s="71"/>
      <c r="J50" s="71" t="s">
        <v>159</v>
      </c>
      <c r="K50" s="70" t="s">
        <v>552</v>
      </c>
      <c r="L50" s="74">
        <v>909.9090909090909</v>
      </c>
      <c r="M50" s="75">
        <v>3982.927001953125</v>
      </c>
      <c r="N50" s="75">
        <v>9606.1513671875</v>
      </c>
      <c r="O50" s="76"/>
      <c r="P50" s="77"/>
      <c r="Q50" s="77"/>
      <c r="R50" s="91"/>
      <c r="S50" s="48">
        <v>1</v>
      </c>
      <c r="T50" s="48">
        <v>0</v>
      </c>
      <c r="U50" s="49">
        <v>0</v>
      </c>
      <c r="V50" s="49">
        <v>0.000712</v>
      </c>
      <c r="W50" s="49">
        <v>0.000199</v>
      </c>
      <c r="X50" s="49">
        <v>0.50515</v>
      </c>
      <c r="Y50" s="49">
        <v>0</v>
      </c>
      <c r="Z50" s="49">
        <v>0</v>
      </c>
      <c r="AA50" s="72">
        <v>50</v>
      </c>
      <c r="AB50" s="72"/>
      <c r="AC50" s="73"/>
      <c r="AD50" s="88" t="s">
        <v>552</v>
      </c>
      <c r="AE50" s="88" t="s">
        <v>829</v>
      </c>
      <c r="AF50" s="88" t="s">
        <v>1103</v>
      </c>
      <c r="AG50" s="88" t="s">
        <v>1337</v>
      </c>
      <c r="AH50" s="88" t="s">
        <v>1471</v>
      </c>
      <c r="AI50" s="88">
        <v>98274</v>
      </c>
      <c r="AJ50" s="88">
        <v>227</v>
      </c>
      <c r="AK50" s="88">
        <v>863</v>
      </c>
      <c r="AL50" s="88">
        <v>80</v>
      </c>
      <c r="AM50" s="88" t="s">
        <v>1705</v>
      </c>
      <c r="AN50" s="100" t="str">
        <f>HYPERLINK("https://www.youtube.com/watch?v=oRNh_MqZjtQ")</f>
        <v>https://www.youtube.com/watch?v=oRNh_MqZjtQ</v>
      </c>
      <c r="AO50" s="88" t="str">
        <f>REPLACE(INDEX(GroupVertices[Group],MATCH(Vertices[[#This Row],[Vertex]],GroupVertices[Vertex],0)),1,1,"")</f>
        <v>3</v>
      </c>
      <c r="AP50" s="48">
        <v>0</v>
      </c>
      <c r="AQ50" s="49">
        <v>0</v>
      </c>
      <c r="AR50" s="48">
        <v>0</v>
      </c>
      <c r="AS50" s="49">
        <v>0</v>
      </c>
      <c r="AT50" s="48">
        <v>0</v>
      </c>
      <c r="AU50" s="49">
        <v>0</v>
      </c>
      <c r="AV50" s="48">
        <v>3</v>
      </c>
      <c r="AW50" s="49">
        <v>100</v>
      </c>
      <c r="AX50" s="48">
        <v>3</v>
      </c>
      <c r="AY50" s="48"/>
      <c r="AZ50" s="48"/>
      <c r="BA50" s="48"/>
      <c r="BB50" s="48"/>
      <c r="BC50" s="2"/>
      <c r="BD50" s="3"/>
      <c r="BE50" s="3"/>
      <c r="BF50" s="3"/>
      <c r="BG50" s="3"/>
    </row>
    <row r="51" spans="1:59" ht="15">
      <c r="A51" s="65" t="s">
        <v>276</v>
      </c>
      <c r="B51" s="66"/>
      <c r="C51" s="66"/>
      <c r="D51" s="67">
        <v>80.02482064293335</v>
      </c>
      <c r="E51" s="69"/>
      <c r="F51" s="98" t="str">
        <f>HYPERLINK("https://i.ytimg.com/vi/Rt0x1fK11HA/default.jpg")</f>
        <v>https://i.ytimg.com/vi/Rt0x1fK11HA/default.jpg</v>
      </c>
      <c r="G51" s="66"/>
      <c r="H51" s="70" t="s">
        <v>553</v>
      </c>
      <c r="I51" s="71"/>
      <c r="J51" s="71" t="s">
        <v>159</v>
      </c>
      <c r="K51" s="70" t="s">
        <v>553</v>
      </c>
      <c r="L51" s="74">
        <v>909.9090909090909</v>
      </c>
      <c r="M51" s="75">
        <v>4426.71875</v>
      </c>
      <c r="N51" s="75">
        <v>9773.9072265625</v>
      </c>
      <c r="O51" s="76"/>
      <c r="P51" s="77"/>
      <c r="Q51" s="77"/>
      <c r="R51" s="91"/>
      <c r="S51" s="48">
        <v>1</v>
      </c>
      <c r="T51" s="48">
        <v>0</v>
      </c>
      <c r="U51" s="49">
        <v>0</v>
      </c>
      <c r="V51" s="49">
        <v>0.000712</v>
      </c>
      <c r="W51" s="49">
        <v>0.000199</v>
      </c>
      <c r="X51" s="49">
        <v>0.50515</v>
      </c>
      <c r="Y51" s="49">
        <v>0</v>
      </c>
      <c r="Z51" s="49">
        <v>0</v>
      </c>
      <c r="AA51" s="72">
        <v>51</v>
      </c>
      <c r="AB51" s="72"/>
      <c r="AC51" s="73"/>
      <c r="AD51" s="88" t="s">
        <v>553</v>
      </c>
      <c r="AE51" s="88" t="s">
        <v>830</v>
      </c>
      <c r="AF51" s="88" t="s">
        <v>1104</v>
      </c>
      <c r="AG51" s="88" t="s">
        <v>1308</v>
      </c>
      <c r="AH51" s="88" t="s">
        <v>1472</v>
      </c>
      <c r="AI51" s="88">
        <v>313</v>
      </c>
      <c r="AJ51" s="88">
        <v>0</v>
      </c>
      <c r="AK51" s="88">
        <v>0</v>
      </c>
      <c r="AL51" s="88">
        <v>0</v>
      </c>
      <c r="AM51" s="88" t="s">
        <v>1705</v>
      </c>
      <c r="AN51" s="100" t="str">
        <f>HYPERLINK("https://www.youtube.com/watch?v=Rt0x1fK11HA")</f>
        <v>https://www.youtube.com/watch?v=Rt0x1fK11HA</v>
      </c>
      <c r="AO51" s="88" t="str">
        <f>REPLACE(INDEX(GroupVertices[Group],MATCH(Vertices[[#This Row],[Vertex]],GroupVertices[Vertex],0)),1,1,"")</f>
        <v>3</v>
      </c>
      <c r="AP51" s="48">
        <v>0</v>
      </c>
      <c r="AQ51" s="49">
        <v>0</v>
      </c>
      <c r="AR51" s="48">
        <v>0</v>
      </c>
      <c r="AS51" s="49">
        <v>0</v>
      </c>
      <c r="AT51" s="48">
        <v>0</v>
      </c>
      <c r="AU51" s="49">
        <v>0</v>
      </c>
      <c r="AV51" s="48">
        <v>5</v>
      </c>
      <c r="AW51" s="49">
        <v>100</v>
      </c>
      <c r="AX51" s="48">
        <v>5</v>
      </c>
      <c r="AY51" s="48"/>
      <c r="AZ51" s="48"/>
      <c r="BA51" s="48"/>
      <c r="BB51" s="48"/>
      <c r="BC51" s="2"/>
      <c r="BD51" s="3"/>
      <c r="BE51" s="3"/>
      <c r="BF51" s="3"/>
      <c r="BG51" s="3"/>
    </row>
    <row r="52" spans="1:59" ht="15">
      <c r="A52" s="65" t="s">
        <v>277</v>
      </c>
      <c r="B52" s="66"/>
      <c r="C52" s="66"/>
      <c r="D52" s="67">
        <v>88.00080960441541</v>
      </c>
      <c r="E52" s="69"/>
      <c r="F52" s="98" t="str">
        <f>HYPERLINK("https://i.ytimg.com/vi/6_AiyQ8FpNo/default.jpg")</f>
        <v>https://i.ytimg.com/vi/6_AiyQ8FpNo/default.jpg</v>
      </c>
      <c r="G52" s="66"/>
      <c r="H52" s="70" t="s">
        <v>554</v>
      </c>
      <c r="I52" s="71"/>
      <c r="J52" s="71" t="s">
        <v>159</v>
      </c>
      <c r="K52" s="70" t="s">
        <v>554</v>
      </c>
      <c r="L52" s="74">
        <v>909.9090909090909</v>
      </c>
      <c r="M52" s="75">
        <v>3717.427978515625</v>
      </c>
      <c r="N52" s="75">
        <v>8486.669921875</v>
      </c>
      <c r="O52" s="76"/>
      <c r="P52" s="77"/>
      <c r="Q52" s="77"/>
      <c r="R52" s="91"/>
      <c r="S52" s="48">
        <v>1</v>
      </c>
      <c r="T52" s="48">
        <v>0</v>
      </c>
      <c r="U52" s="49">
        <v>0</v>
      </c>
      <c r="V52" s="49">
        <v>0.000712</v>
      </c>
      <c r="W52" s="49">
        <v>0.000199</v>
      </c>
      <c r="X52" s="49">
        <v>0.50515</v>
      </c>
      <c r="Y52" s="49">
        <v>0</v>
      </c>
      <c r="Z52" s="49">
        <v>0</v>
      </c>
      <c r="AA52" s="72">
        <v>52</v>
      </c>
      <c r="AB52" s="72"/>
      <c r="AC52" s="73"/>
      <c r="AD52" s="88" t="s">
        <v>554</v>
      </c>
      <c r="AE52" s="88" t="s">
        <v>831</v>
      </c>
      <c r="AF52" s="88" t="s">
        <v>1105</v>
      </c>
      <c r="AG52" s="88" t="s">
        <v>1317</v>
      </c>
      <c r="AH52" s="88" t="s">
        <v>1473</v>
      </c>
      <c r="AI52" s="88">
        <v>73901</v>
      </c>
      <c r="AJ52" s="88">
        <v>42</v>
      </c>
      <c r="AK52" s="88">
        <v>564</v>
      </c>
      <c r="AL52" s="88">
        <v>50</v>
      </c>
      <c r="AM52" s="88" t="s">
        <v>1705</v>
      </c>
      <c r="AN52" s="100" t="str">
        <f>HYPERLINK("https://www.youtube.com/watch?v=6_AiyQ8FpNo")</f>
        <v>https://www.youtube.com/watch?v=6_AiyQ8FpNo</v>
      </c>
      <c r="AO52" s="88" t="str">
        <f>REPLACE(INDEX(GroupVertices[Group],MATCH(Vertices[[#This Row],[Vertex]],GroupVertices[Vertex],0)),1,1,"")</f>
        <v>3</v>
      </c>
      <c r="AP52" s="48">
        <v>0</v>
      </c>
      <c r="AQ52" s="49">
        <v>0</v>
      </c>
      <c r="AR52" s="48">
        <v>0</v>
      </c>
      <c r="AS52" s="49">
        <v>0</v>
      </c>
      <c r="AT52" s="48">
        <v>0</v>
      </c>
      <c r="AU52" s="49">
        <v>0</v>
      </c>
      <c r="AV52" s="48">
        <v>9</v>
      </c>
      <c r="AW52" s="49">
        <v>100</v>
      </c>
      <c r="AX52" s="48">
        <v>9</v>
      </c>
      <c r="AY52" s="48"/>
      <c r="AZ52" s="48"/>
      <c r="BA52" s="48"/>
      <c r="BB52" s="48"/>
      <c r="BC52" s="2"/>
      <c r="BD52" s="3"/>
      <c r="BE52" s="3"/>
      <c r="BF52" s="3"/>
      <c r="BG52" s="3"/>
    </row>
    <row r="53" spans="1:59" ht="15">
      <c r="A53" s="65" t="s">
        <v>278</v>
      </c>
      <c r="B53" s="66"/>
      <c r="C53" s="66"/>
      <c r="D53" s="67">
        <v>87.43383675208197</v>
      </c>
      <c r="E53" s="69"/>
      <c r="F53" s="98" t="str">
        <f>HYPERLINK("https://i.ytimg.com/vi/xs2k3FlfTo4/default.jpg")</f>
        <v>https://i.ytimg.com/vi/xs2k3FlfTo4/default.jpg</v>
      </c>
      <c r="G53" s="66"/>
      <c r="H53" s="70" t="s">
        <v>555</v>
      </c>
      <c r="I53" s="71"/>
      <c r="J53" s="71" t="s">
        <v>159</v>
      </c>
      <c r="K53" s="70" t="s">
        <v>555</v>
      </c>
      <c r="L53" s="74">
        <v>909.9090909090909</v>
      </c>
      <c r="M53" s="75">
        <v>5756.443359375</v>
      </c>
      <c r="N53" s="75">
        <v>9588.5517578125</v>
      </c>
      <c r="O53" s="76"/>
      <c r="P53" s="77"/>
      <c r="Q53" s="77"/>
      <c r="R53" s="91"/>
      <c r="S53" s="48">
        <v>1</v>
      </c>
      <c r="T53" s="48">
        <v>0</v>
      </c>
      <c r="U53" s="49">
        <v>0</v>
      </c>
      <c r="V53" s="49">
        <v>0.000712</v>
      </c>
      <c r="W53" s="49">
        <v>0.000199</v>
      </c>
      <c r="X53" s="49">
        <v>0.50515</v>
      </c>
      <c r="Y53" s="49">
        <v>0</v>
      </c>
      <c r="Z53" s="49">
        <v>0</v>
      </c>
      <c r="AA53" s="72">
        <v>53</v>
      </c>
      <c r="AB53" s="72"/>
      <c r="AC53" s="73"/>
      <c r="AD53" s="88" t="s">
        <v>555</v>
      </c>
      <c r="AE53" s="88" t="s">
        <v>832</v>
      </c>
      <c r="AF53" s="88" t="s">
        <v>1106</v>
      </c>
      <c r="AG53" s="88" t="s">
        <v>1337</v>
      </c>
      <c r="AH53" s="88" t="s">
        <v>1474</v>
      </c>
      <c r="AI53" s="88">
        <v>68670</v>
      </c>
      <c r="AJ53" s="88">
        <v>193</v>
      </c>
      <c r="AK53" s="88">
        <v>663</v>
      </c>
      <c r="AL53" s="88">
        <v>46</v>
      </c>
      <c r="AM53" s="88" t="s">
        <v>1705</v>
      </c>
      <c r="AN53" s="100" t="str">
        <f>HYPERLINK("https://www.youtube.com/watch?v=xs2k3FlfTo4")</f>
        <v>https://www.youtube.com/watch?v=xs2k3FlfTo4</v>
      </c>
      <c r="AO53" s="88" t="str">
        <f>REPLACE(INDEX(GroupVertices[Group],MATCH(Vertices[[#This Row],[Vertex]],GroupVertices[Vertex],0)),1,1,"")</f>
        <v>3</v>
      </c>
      <c r="AP53" s="48">
        <v>0</v>
      </c>
      <c r="AQ53" s="49">
        <v>0</v>
      </c>
      <c r="AR53" s="48">
        <v>0</v>
      </c>
      <c r="AS53" s="49">
        <v>0</v>
      </c>
      <c r="AT53" s="48">
        <v>0</v>
      </c>
      <c r="AU53" s="49">
        <v>0</v>
      </c>
      <c r="AV53" s="48">
        <v>11</v>
      </c>
      <c r="AW53" s="49">
        <v>100</v>
      </c>
      <c r="AX53" s="48">
        <v>11</v>
      </c>
      <c r="AY53" s="48"/>
      <c r="AZ53" s="48"/>
      <c r="BA53" s="48"/>
      <c r="BB53" s="48"/>
      <c r="BC53" s="2"/>
      <c r="BD53" s="3"/>
      <c r="BE53" s="3"/>
      <c r="BF53" s="3"/>
      <c r="BG53" s="3"/>
    </row>
    <row r="54" spans="1:59" ht="15">
      <c r="A54" s="65" t="s">
        <v>279</v>
      </c>
      <c r="B54" s="66"/>
      <c r="C54" s="66"/>
      <c r="D54" s="67">
        <v>90.63732549678986</v>
      </c>
      <c r="E54" s="69"/>
      <c r="F54" s="98" t="str">
        <f>HYPERLINK("https://i.ytimg.com/vi/XcFu6X_Wj3M/default.jpg")</f>
        <v>https://i.ytimg.com/vi/XcFu6X_Wj3M/default.jpg</v>
      </c>
      <c r="G54" s="66"/>
      <c r="H54" s="70" t="s">
        <v>556</v>
      </c>
      <c r="I54" s="71"/>
      <c r="J54" s="71" t="s">
        <v>159</v>
      </c>
      <c r="K54" s="70" t="s">
        <v>556</v>
      </c>
      <c r="L54" s="74">
        <v>909.9090909090909</v>
      </c>
      <c r="M54" s="75">
        <v>3674.073974609375</v>
      </c>
      <c r="N54" s="75">
        <v>9328.74609375</v>
      </c>
      <c r="O54" s="76"/>
      <c r="P54" s="77"/>
      <c r="Q54" s="77"/>
      <c r="R54" s="91"/>
      <c r="S54" s="48">
        <v>1</v>
      </c>
      <c r="T54" s="48">
        <v>0</v>
      </c>
      <c r="U54" s="49">
        <v>0</v>
      </c>
      <c r="V54" s="49">
        <v>0.000712</v>
      </c>
      <c r="W54" s="49">
        <v>0.000199</v>
      </c>
      <c r="X54" s="49">
        <v>0.50515</v>
      </c>
      <c r="Y54" s="49">
        <v>0</v>
      </c>
      <c r="Z54" s="49">
        <v>0</v>
      </c>
      <c r="AA54" s="72">
        <v>54</v>
      </c>
      <c r="AB54" s="72"/>
      <c r="AC54" s="73"/>
      <c r="AD54" s="88" t="s">
        <v>556</v>
      </c>
      <c r="AE54" s="88" t="s">
        <v>833</v>
      </c>
      <c r="AF54" s="88" t="s">
        <v>1107</v>
      </c>
      <c r="AG54" s="88" t="s">
        <v>1317</v>
      </c>
      <c r="AH54" s="88" t="s">
        <v>1475</v>
      </c>
      <c r="AI54" s="88">
        <v>98226</v>
      </c>
      <c r="AJ54" s="88">
        <v>391</v>
      </c>
      <c r="AK54" s="88">
        <v>2210</v>
      </c>
      <c r="AL54" s="88">
        <v>88</v>
      </c>
      <c r="AM54" s="88" t="s">
        <v>1705</v>
      </c>
      <c r="AN54" s="100" t="str">
        <f>HYPERLINK("https://www.youtube.com/watch?v=XcFu6X_Wj3M")</f>
        <v>https://www.youtube.com/watch?v=XcFu6X_Wj3M</v>
      </c>
      <c r="AO54" s="88" t="str">
        <f>REPLACE(INDEX(GroupVertices[Group],MATCH(Vertices[[#This Row],[Vertex]],GroupVertices[Vertex],0)),1,1,"")</f>
        <v>3</v>
      </c>
      <c r="AP54" s="48">
        <v>0</v>
      </c>
      <c r="AQ54" s="49">
        <v>0</v>
      </c>
      <c r="AR54" s="48">
        <v>0</v>
      </c>
      <c r="AS54" s="49">
        <v>0</v>
      </c>
      <c r="AT54" s="48">
        <v>0</v>
      </c>
      <c r="AU54" s="49">
        <v>0</v>
      </c>
      <c r="AV54" s="48">
        <v>10</v>
      </c>
      <c r="AW54" s="49">
        <v>100</v>
      </c>
      <c r="AX54" s="48">
        <v>10</v>
      </c>
      <c r="AY54" s="48"/>
      <c r="AZ54" s="48"/>
      <c r="BA54" s="48"/>
      <c r="BB54" s="48"/>
      <c r="BC54" s="2"/>
      <c r="BD54" s="3"/>
      <c r="BE54" s="3"/>
      <c r="BF54" s="3"/>
      <c r="BG54" s="3"/>
    </row>
    <row r="55" spans="1:59" ht="15">
      <c r="A55" s="65" t="s">
        <v>280</v>
      </c>
      <c r="B55" s="66"/>
      <c r="C55" s="66"/>
      <c r="D55" s="67">
        <v>82.02293659261159</v>
      </c>
      <c r="E55" s="69"/>
      <c r="F55" s="98" t="str">
        <f>HYPERLINK("https://i.ytimg.com/vi/fIIuSMd1PXI/default.jpg")</f>
        <v>https://i.ytimg.com/vi/fIIuSMd1PXI/default.jpg</v>
      </c>
      <c r="G55" s="66"/>
      <c r="H55" s="70" t="s">
        <v>557</v>
      </c>
      <c r="I55" s="71"/>
      <c r="J55" s="71" t="s">
        <v>159</v>
      </c>
      <c r="K55" s="70" t="s">
        <v>557</v>
      </c>
      <c r="L55" s="74">
        <v>909.9090909090909</v>
      </c>
      <c r="M55" s="75">
        <v>5401.3193359375</v>
      </c>
      <c r="N55" s="75">
        <v>9793.1865234375</v>
      </c>
      <c r="O55" s="76"/>
      <c r="P55" s="77"/>
      <c r="Q55" s="77"/>
      <c r="R55" s="91"/>
      <c r="S55" s="48">
        <v>1</v>
      </c>
      <c r="T55" s="48">
        <v>0</v>
      </c>
      <c r="U55" s="49">
        <v>0</v>
      </c>
      <c r="V55" s="49">
        <v>0.000712</v>
      </c>
      <c r="W55" s="49">
        <v>0.000199</v>
      </c>
      <c r="X55" s="49">
        <v>0.50515</v>
      </c>
      <c r="Y55" s="49">
        <v>0</v>
      </c>
      <c r="Z55" s="49">
        <v>0</v>
      </c>
      <c r="AA55" s="72">
        <v>55</v>
      </c>
      <c r="AB55" s="72"/>
      <c r="AC55" s="73"/>
      <c r="AD55" s="88" t="s">
        <v>557</v>
      </c>
      <c r="AE55" s="88" t="s">
        <v>834</v>
      </c>
      <c r="AF55" s="88"/>
      <c r="AG55" s="88" t="s">
        <v>1317</v>
      </c>
      <c r="AH55" s="88" t="s">
        <v>1476</v>
      </c>
      <c r="AI55" s="88">
        <v>18748</v>
      </c>
      <c r="AJ55" s="88">
        <v>24</v>
      </c>
      <c r="AK55" s="88">
        <v>410</v>
      </c>
      <c r="AL55" s="88">
        <v>8</v>
      </c>
      <c r="AM55" s="88" t="s">
        <v>1705</v>
      </c>
      <c r="AN55" s="100" t="str">
        <f>HYPERLINK("https://www.youtube.com/watch?v=fIIuSMd1PXI")</f>
        <v>https://www.youtube.com/watch?v=fIIuSMd1PXI</v>
      </c>
      <c r="AO55" s="88" t="str">
        <f>REPLACE(INDEX(GroupVertices[Group],MATCH(Vertices[[#This Row],[Vertex]],GroupVertices[Vertex],0)),1,1,"")</f>
        <v>3</v>
      </c>
      <c r="AP55" s="48"/>
      <c r="AQ55" s="49"/>
      <c r="AR55" s="48"/>
      <c r="AS55" s="49"/>
      <c r="AT55" s="48"/>
      <c r="AU55" s="49"/>
      <c r="AV55" s="48"/>
      <c r="AW55" s="49"/>
      <c r="AX55" s="48"/>
      <c r="AY55" s="48"/>
      <c r="AZ55" s="48"/>
      <c r="BA55" s="48"/>
      <c r="BB55" s="48"/>
      <c r="BC55" s="2"/>
      <c r="BD55" s="3"/>
      <c r="BE55" s="3"/>
      <c r="BF55" s="3"/>
      <c r="BG55" s="3"/>
    </row>
    <row r="56" spans="1:59" ht="15">
      <c r="A56" s="65" t="s">
        <v>281</v>
      </c>
      <c r="B56" s="66"/>
      <c r="C56" s="66"/>
      <c r="D56" s="67">
        <v>81.55958179549336</v>
      </c>
      <c r="E56" s="69"/>
      <c r="F56" s="98" t="str">
        <f>HYPERLINK("https://i.ytimg.com/vi/ZdSr7QHt_p4/default.jpg")</f>
        <v>https://i.ytimg.com/vi/ZdSr7QHt_p4/default.jpg</v>
      </c>
      <c r="G56" s="66"/>
      <c r="H56" s="70" t="s">
        <v>558</v>
      </c>
      <c r="I56" s="71"/>
      <c r="J56" s="71" t="s">
        <v>159</v>
      </c>
      <c r="K56" s="70" t="s">
        <v>558</v>
      </c>
      <c r="L56" s="74">
        <v>909.9090909090909</v>
      </c>
      <c r="M56" s="75">
        <v>3384.7841796875</v>
      </c>
      <c r="N56" s="75">
        <v>8222.482421875</v>
      </c>
      <c r="O56" s="76"/>
      <c r="P56" s="77"/>
      <c r="Q56" s="77"/>
      <c r="R56" s="91"/>
      <c r="S56" s="48">
        <v>1</v>
      </c>
      <c r="T56" s="48">
        <v>0</v>
      </c>
      <c r="U56" s="49">
        <v>0</v>
      </c>
      <c r="V56" s="49">
        <v>0.000712</v>
      </c>
      <c r="W56" s="49">
        <v>0.000199</v>
      </c>
      <c r="X56" s="49">
        <v>0.50515</v>
      </c>
      <c r="Y56" s="49">
        <v>0</v>
      </c>
      <c r="Z56" s="49">
        <v>0</v>
      </c>
      <c r="AA56" s="72">
        <v>56</v>
      </c>
      <c r="AB56" s="72"/>
      <c r="AC56" s="73"/>
      <c r="AD56" s="88" t="s">
        <v>558</v>
      </c>
      <c r="AE56" s="88" t="s">
        <v>835</v>
      </c>
      <c r="AF56" s="88" t="s">
        <v>1108</v>
      </c>
      <c r="AG56" s="88" t="s">
        <v>1338</v>
      </c>
      <c r="AH56" s="88" t="s">
        <v>1477</v>
      </c>
      <c r="AI56" s="88">
        <v>14473</v>
      </c>
      <c r="AJ56" s="88">
        <v>3</v>
      </c>
      <c r="AK56" s="88">
        <v>152</v>
      </c>
      <c r="AL56" s="88">
        <v>6</v>
      </c>
      <c r="AM56" s="88" t="s">
        <v>1705</v>
      </c>
      <c r="AN56" s="100" t="str">
        <f>HYPERLINK("https://www.youtube.com/watch?v=ZdSr7QHt_p4")</f>
        <v>https://www.youtube.com/watch?v=ZdSr7QHt_p4</v>
      </c>
      <c r="AO56" s="88" t="str">
        <f>REPLACE(INDEX(GroupVertices[Group],MATCH(Vertices[[#This Row],[Vertex]],GroupVertices[Vertex],0)),1,1,"")</f>
        <v>3</v>
      </c>
      <c r="AP56" s="48">
        <v>0</v>
      </c>
      <c r="AQ56" s="49">
        <v>0</v>
      </c>
      <c r="AR56" s="48">
        <v>0</v>
      </c>
      <c r="AS56" s="49">
        <v>0</v>
      </c>
      <c r="AT56" s="48">
        <v>0</v>
      </c>
      <c r="AU56" s="49">
        <v>0</v>
      </c>
      <c r="AV56" s="48">
        <v>22</v>
      </c>
      <c r="AW56" s="49">
        <v>100</v>
      </c>
      <c r="AX56" s="48">
        <v>22</v>
      </c>
      <c r="AY56" s="48"/>
      <c r="AZ56" s="48"/>
      <c r="BA56" s="48"/>
      <c r="BB56" s="48"/>
      <c r="BC56" s="2"/>
      <c r="BD56" s="3"/>
      <c r="BE56" s="3"/>
      <c r="BF56" s="3"/>
      <c r="BG56" s="3"/>
    </row>
    <row r="57" spans="1:59" ht="15">
      <c r="A57" s="65" t="s">
        <v>282</v>
      </c>
      <c r="B57" s="66"/>
      <c r="C57" s="66"/>
      <c r="D57" s="67">
        <v>92.40999630541407</v>
      </c>
      <c r="E57" s="69"/>
      <c r="F57" s="98" t="str">
        <f>HYPERLINK("https://i.ytimg.com/vi/-cCjpxV1U-A/default.jpg")</f>
        <v>https://i.ytimg.com/vi/-cCjpxV1U-A/default.jpg</v>
      </c>
      <c r="G57" s="66"/>
      <c r="H57" s="70" t="s">
        <v>559</v>
      </c>
      <c r="I57" s="71"/>
      <c r="J57" s="71" t="s">
        <v>159</v>
      </c>
      <c r="K57" s="70" t="s">
        <v>559</v>
      </c>
      <c r="L57" s="74">
        <v>909.9090909090909</v>
      </c>
      <c r="M57" s="75">
        <v>3999.98828125</v>
      </c>
      <c r="N57" s="75">
        <v>8008.017578125</v>
      </c>
      <c r="O57" s="76"/>
      <c r="P57" s="77"/>
      <c r="Q57" s="77"/>
      <c r="R57" s="91"/>
      <c r="S57" s="48">
        <v>1</v>
      </c>
      <c r="T57" s="48">
        <v>0</v>
      </c>
      <c r="U57" s="49">
        <v>0</v>
      </c>
      <c r="V57" s="49">
        <v>0.000712</v>
      </c>
      <c r="W57" s="49">
        <v>0.000199</v>
      </c>
      <c r="X57" s="49">
        <v>0.50515</v>
      </c>
      <c r="Y57" s="49">
        <v>0</v>
      </c>
      <c r="Z57" s="49">
        <v>0</v>
      </c>
      <c r="AA57" s="72">
        <v>57</v>
      </c>
      <c r="AB57" s="72"/>
      <c r="AC57" s="73"/>
      <c r="AD57" s="88" t="s">
        <v>559</v>
      </c>
      <c r="AE57" s="88" t="s">
        <v>831</v>
      </c>
      <c r="AF57" s="88" t="s">
        <v>1105</v>
      </c>
      <c r="AG57" s="88" t="s">
        <v>1317</v>
      </c>
      <c r="AH57" s="88" t="s">
        <v>1478</v>
      </c>
      <c r="AI57" s="88">
        <v>114581</v>
      </c>
      <c r="AJ57" s="88">
        <v>60</v>
      </c>
      <c r="AK57" s="88">
        <v>1354</v>
      </c>
      <c r="AL57" s="88">
        <v>112</v>
      </c>
      <c r="AM57" s="88" t="s">
        <v>1705</v>
      </c>
      <c r="AN57" s="100" t="str">
        <f>HYPERLINK("https://www.youtube.com/watch?v=-cCjpxV1U-A")</f>
        <v>https://www.youtube.com/watch?v=-cCjpxV1U-A</v>
      </c>
      <c r="AO57" s="88" t="str">
        <f>REPLACE(INDEX(GroupVertices[Group],MATCH(Vertices[[#This Row],[Vertex]],GroupVertices[Vertex],0)),1,1,"")</f>
        <v>3</v>
      </c>
      <c r="AP57" s="48">
        <v>0</v>
      </c>
      <c r="AQ57" s="49">
        <v>0</v>
      </c>
      <c r="AR57" s="48">
        <v>0</v>
      </c>
      <c r="AS57" s="49">
        <v>0</v>
      </c>
      <c r="AT57" s="48">
        <v>0</v>
      </c>
      <c r="AU57" s="49">
        <v>0</v>
      </c>
      <c r="AV57" s="48">
        <v>9</v>
      </c>
      <c r="AW57" s="49">
        <v>100</v>
      </c>
      <c r="AX57" s="48">
        <v>9</v>
      </c>
      <c r="AY57" s="48"/>
      <c r="AZ57" s="48"/>
      <c r="BA57" s="48"/>
      <c r="BB57" s="48"/>
      <c r="BC57" s="2"/>
      <c r="BD57" s="3"/>
      <c r="BE57" s="3"/>
      <c r="BF57" s="3"/>
      <c r="BG57" s="3"/>
    </row>
    <row r="58" spans="1:59" ht="15">
      <c r="A58" s="65" t="s">
        <v>283</v>
      </c>
      <c r="B58" s="66"/>
      <c r="C58" s="66"/>
      <c r="D58" s="67">
        <v>118.93795263390047</v>
      </c>
      <c r="E58" s="69"/>
      <c r="F58" s="98" t="str">
        <f>HYPERLINK("https://i.ytimg.com/vi/LvBlzDz9ttM/default.jpg")</f>
        <v>https://i.ytimg.com/vi/LvBlzDz9ttM/default.jpg</v>
      </c>
      <c r="G58" s="66"/>
      <c r="H58" s="70" t="s">
        <v>560</v>
      </c>
      <c r="I58" s="71"/>
      <c r="J58" s="71" t="s">
        <v>159</v>
      </c>
      <c r="K58" s="70" t="s">
        <v>560</v>
      </c>
      <c r="L58" s="74">
        <v>909.9090909090909</v>
      </c>
      <c r="M58" s="75">
        <v>5475.716796875</v>
      </c>
      <c r="N58" s="75">
        <v>9090.3349609375</v>
      </c>
      <c r="O58" s="76"/>
      <c r="P58" s="77"/>
      <c r="Q58" s="77"/>
      <c r="R58" s="91"/>
      <c r="S58" s="48">
        <v>1</v>
      </c>
      <c r="T58" s="48">
        <v>0</v>
      </c>
      <c r="U58" s="49">
        <v>0</v>
      </c>
      <c r="V58" s="49">
        <v>0.000712</v>
      </c>
      <c r="W58" s="49">
        <v>0.000199</v>
      </c>
      <c r="X58" s="49">
        <v>0.50515</v>
      </c>
      <c r="Y58" s="49">
        <v>0</v>
      </c>
      <c r="Z58" s="49">
        <v>0</v>
      </c>
      <c r="AA58" s="72">
        <v>58</v>
      </c>
      <c r="AB58" s="72"/>
      <c r="AC58" s="73"/>
      <c r="AD58" s="88" t="s">
        <v>560</v>
      </c>
      <c r="AE58" s="88" t="s">
        <v>836</v>
      </c>
      <c r="AF58" s="88" t="s">
        <v>1109</v>
      </c>
      <c r="AG58" s="88" t="s">
        <v>1339</v>
      </c>
      <c r="AH58" s="88" t="s">
        <v>1479</v>
      </c>
      <c r="AI58" s="88">
        <v>359333</v>
      </c>
      <c r="AJ58" s="88">
        <v>195</v>
      </c>
      <c r="AK58" s="88">
        <v>1653</v>
      </c>
      <c r="AL58" s="88">
        <v>162</v>
      </c>
      <c r="AM58" s="88" t="s">
        <v>1705</v>
      </c>
      <c r="AN58" s="100" t="str">
        <f>HYPERLINK("https://www.youtube.com/watch?v=LvBlzDz9ttM")</f>
        <v>https://www.youtube.com/watch?v=LvBlzDz9ttM</v>
      </c>
      <c r="AO58" s="88" t="str">
        <f>REPLACE(INDEX(GroupVertices[Group],MATCH(Vertices[[#This Row],[Vertex]],GroupVertices[Vertex],0)),1,1,"")</f>
        <v>3</v>
      </c>
      <c r="AP58" s="48">
        <v>0</v>
      </c>
      <c r="AQ58" s="49">
        <v>0</v>
      </c>
      <c r="AR58" s="48">
        <v>0</v>
      </c>
      <c r="AS58" s="49">
        <v>0</v>
      </c>
      <c r="AT58" s="48">
        <v>0</v>
      </c>
      <c r="AU58" s="49">
        <v>0</v>
      </c>
      <c r="AV58" s="48">
        <v>9</v>
      </c>
      <c r="AW58" s="49">
        <v>100</v>
      </c>
      <c r="AX58" s="48">
        <v>9</v>
      </c>
      <c r="AY58" s="48"/>
      <c r="AZ58" s="48"/>
      <c r="BA58" s="48"/>
      <c r="BB58" s="48"/>
      <c r="BC58" s="2"/>
      <c r="BD58" s="3"/>
      <c r="BE58" s="3"/>
      <c r="BF58" s="3"/>
      <c r="BG58" s="3"/>
    </row>
    <row r="59" spans="1:59" ht="15">
      <c r="A59" s="65" t="s">
        <v>284</v>
      </c>
      <c r="B59" s="66"/>
      <c r="C59" s="66"/>
      <c r="D59" s="67">
        <v>224.75127991012354</v>
      </c>
      <c r="E59" s="69"/>
      <c r="F59" s="98" t="str">
        <f>HYPERLINK("https://i.ytimg.com/vi/l_tf0oBubOE/default.jpg")</f>
        <v>https://i.ytimg.com/vi/l_tf0oBubOE/default.jpg</v>
      </c>
      <c r="G59" s="66"/>
      <c r="H59" s="70" t="s">
        <v>561</v>
      </c>
      <c r="I59" s="71"/>
      <c r="J59" s="71" t="s">
        <v>159</v>
      </c>
      <c r="K59" s="70" t="s">
        <v>561</v>
      </c>
      <c r="L59" s="74">
        <v>909.9090909090909</v>
      </c>
      <c r="M59" s="75">
        <v>4259.90380859375</v>
      </c>
      <c r="N59" s="75">
        <v>8392.5927734375</v>
      </c>
      <c r="O59" s="76"/>
      <c r="P59" s="77"/>
      <c r="Q59" s="77"/>
      <c r="R59" s="91"/>
      <c r="S59" s="48">
        <v>1</v>
      </c>
      <c r="T59" s="48">
        <v>0</v>
      </c>
      <c r="U59" s="49">
        <v>0</v>
      </c>
      <c r="V59" s="49">
        <v>0.000712</v>
      </c>
      <c r="W59" s="49">
        <v>0.000199</v>
      </c>
      <c r="X59" s="49">
        <v>0.50515</v>
      </c>
      <c r="Y59" s="49">
        <v>0</v>
      </c>
      <c r="Z59" s="49">
        <v>0</v>
      </c>
      <c r="AA59" s="72">
        <v>59</v>
      </c>
      <c r="AB59" s="72"/>
      <c r="AC59" s="73"/>
      <c r="AD59" s="88" t="s">
        <v>561</v>
      </c>
      <c r="AE59" s="88" t="s">
        <v>837</v>
      </c>
      <c r="AF59" s="88" t="s">
        <v>1110</v>
      </c>
      <c r="AG59" s="88" t="s">
        <v>1317</v>
      </c>
      <c r="AH59" s="88" t="s">
        <v>1480</v>
      </c>
      <c r="AI59" s="88">
        <v>1335587</v>
      </c>
      <c r="AJ59" s="88">
        <v>972</v>
      </c>
      <c r="AK59" s="88">
        <v>11428</v>
      </c>
      <c r="AL59" s="88">
        <v>925</v>
      </c>
      <c r="AM59" s="88" t="s">
        <v>1705</v>
      </c>
      <c r="AN59" s="100" t="str">
        <f>HYPERLINK("https://www.youtube.com/watch?v=l_tf0oBubOE")</f>
        <v>https://www.youtube.com/watch?v=l_tf0oBubOE</v>
      </c>
      <c r="AO59" s="88" t="str">
        <f>REPLACE(INDEX(GroupVertices[Group],MATCH(Vertices[[#This Row],[Vertex]],GroupVertices[Vertex],0)),1,1,"")</f>
        <v>3</v>
      </c>
      <c r="AP59" s="48">
        <v>0</v>
      </c>
      <c r="AQ59" s="49">
        <v>0</v>
      </c>
      <c r="AR59" s="48">
        <v>0</v>
      </c>
      <c r="AS59" s="49">
        <v>0</v>
      </c>
      <c r="AT59" s="48">
        <v>0</v>
      </c>
      <c r="AU59" s="49">
        <v>0</v>
      </c>
      <c r="AV59" s="48">
        <v>14</v>
      </c>
      <c r="AW59" s="49">
        <v>100</v>
      </c>
      <c r="AX59" s="48">
        <v>14</v>
      </c>
      <c r="AY59" s="48"/>
      <c r="AZ59" s="48"/>
      <c r="BA59" s="48"/>
      <c r="BB59" s="48"/>
      <c r="BC59" s="2"/>
      <c r="BD59" s="3"/>
      <c r="BE59" s="3"/>
      <c r="BF59" s="3"/>
      <c r="BG59" s="3"/>
    </row>
    <row r="60" spans="1:59" ht="15">
      <c r="A60" s="65" t="s">
        <v>285</v>
      </c>
      <c r="B60" s="66"/>
      <c r="C60" s="66"/>
      <c r="D60" s="67">
        <v>112.81798415098038</v>
      </c>
      <c r="E60" s="69"/>
      <c r="F60" s="98" t="str">
        <f>HYPERLINK("https://i.ytimg.com/vi/vNAi6lRRdtk/default.jpg")</f>
        <v>https://i.ytimg.com/vi/vNAi6lRRdtk/default.jpg</v>
      </c>
      <c r="G60" s="66"/>
      <c r="H60" s="70" t="s">
        <v>562</v>
      </c>
      <c r="I60" s="71"/>
      <c r="J60" s="71" t="s">
        <v>159</v>
      </c>
      <c r="K60" s="70" t="s">
        <v>562</v>
      </c>
      <c r="L60" s="74">
        <v>909.9090909090909</v>
      </c>
      <c r="M60" s="75">
        <v>4890.43017578125</v>
      </c>
      <c r="N60" s="75">
        <v>9125.9775390625</v>
      </c>
      <c r="O60" s="76"/>
      <c r="P60" s="77"/>
      <c r="Q60" s="77"/>
      <c r="R60" s="91"/>
      <c r="S60" s="48">
        <v>1</v>
      </c>
      <c r="T60" s="48">
        <v>0</v>
      </c>
      <c r="U60" s="49">
        <v>0</v>
      </c>
      <c r="V60" s="49">
        <v>0.000712</v>
      </c>
      <c r="W60" s="49">
        <v>0.000199</v>
      </c>
      <c r="X60" s="49">
        <v>0.50515</v>
      </c>
      <c r="Y60" s="49">
        <v>0</v>
      </c>
      <c r="Z60" s="49">
        <v>0</v>
      </c>
      <c r="AA60" s="72">
        <v>60</v>
      </c>
      <c r="AB60" s="72"/>
      <c r="AC60" s="73"/>
      <c r="AD60" s="88" t="s">
        <v>562</v>
      </c>
      <c r="AE60" s="88" t="s">
        <v>838</v>
      </c>
      <c r="AF60" s="88" t="s">
        <v>1111</v>
      </c>
      <c r="AG60" s="88" t="s">
        <v>1340</v>
      </c>
      <c r="AH60" s="88" t="s">
        <v>1481</v>
      </c>
      <c r="AI60" s="88">
        <v>302869</v>
      </c>
      <c r="AJ60" s="88">
        <v>143</v>
      </c>
      <c r="AK60" s="88">
        <v>1356</v>
      </c>
      <c r="AL60" s="88">
        <v>217</v>
      </c>
      <c r="AM60" s="88" t="s">
        <v>1705</v>
      </c>
      <c r="AN60" s="100" t="str">
        <f>HYPERLINK("https://www.youtube.com/watch?v=vNAi6lRRdtk")</f>
        <v>https://www.youtube.com/watch?v=vNAi6lRRdtk</v>
      </c>
      <c r="AO60" s="88" t="str">
        <f>REPLACE(INDEX(GroupVertices[Group],MATCH(Vertices[[#This Row],[Vertex]],GroupVertices[Vertex],0)),1,1,"")</f>
        <v>3</v>
      </c>
      <c r="AP60" s="48">
        <v>0</v>
      </c>
      <c r="AQ60" s="49">
        <v>0</v>
      </c>
      <c r="AR60" s="48">
        <v>0</v>
      </c>
      <c r="AS60" s="49">
        <v>0</v>
      </c>
      <c r="AT60" s="48">
        <v>0</v>
      </c>
      <c r="AU60" s="49">
        <v>0</v>
      </c>
      <c r="AV60" s="48">
        <v>12</v>
      </c>
      <c r="AW60" s="49">
        <v>100</v>
      </c>
      <c r="AX60" s="48">
        <v>12</v>
      </c>
      <c r="AY60" s="48"/>
      <c r="AZ60" s="48"/>
      <c r="BA60" s="48"/>
      <c r="BB60" s="48"/>
      <c r="BC60" s="2"/>
      <c r="BD60" s="3"/>
      <c r="BE60" s="3"/>
      <c r="BF60" s="3"/>
      <c r="BG60" s="3"/>
    </row>
    <row r="61" spans="1:59" ht="15">
      <c r="A61" s="65" t="s">
        <v>286</v>
      </c>
      <c r="B61" s="66"/>
      <c r="C61" s="66"/>
      <c r="D61" s="67">
        <v>81.3340282673523</v>
      </c>
      <c r="E61" s="69"/>
      <c r="F61" s="98" t="str">
        <f>HYPERLINK("https://i.ytimg.com/vi/li_wbkIj6-Q/default.jpg")</f>
        <v>https://i.ytimg.com/vi/li_wbkIj6-Q/default.jpg</v>
      </c>
      <c r="G61" s="66"/>
      <c r="H61" s="70" t="s">
        <v>563</v>
      </c>
      <c r="I61" s="71"/>
      <c r="J61" s="71" t="s">
        <v>159</v>
      </c>
      <c r="K61" s="70" t="s">
        <v>563</v>
      </c>
      <c r="L61" s="74">
        <v>909.9090909090909</v>
      </c>
      <c r="M61" s="75">
        <v>9892.853515625</v>
      </c>
      <c r="N61" s="75">
        <v>7999.96240234375</v>
      </c>
      <c r="O61" s="76"/>
      <c r="P61" s="77"/>
      <c r="Q61" s="77"/>
      <c r="R61" s="91"/>
      <c r="S61" s="48">
        <v>1</v>
      </c>
      <c r="T61" s="48">
        <v>0</v>
      </c>
      <c r="U61" s="49">
        <v>0</v>
      </c>
      <c r="V61" s="49">
        <v>0.00085</v>
      </c>
      <c r="W61" s="49">
        <v>0.002481</v>
      </c>
      <c r="X61" s="49">
        <v>0.386851</v>
      </c>
      <c r="Y61" s="49">
        <v>0</v>
      </c>
      <c r="Z61" s="49">
        <v>0</v>
      </c>
      <c r="AA61" s="72">
        <v>61</v>
      </c>
      <c r="AB61" s="72"/>
      <c r="AC61" s="73"/>
      <c r="AD61" s="88" t="s">
        <v>563</v>
      </c>
      <c r="AE61" s="88" t="s">
        <v>839</v>
      </c>
      <c r="AF61" s="88" t="s">
        <v>1112</v>
      </c>
      <c r="AG61" s="88" t="s">
        <v>1329</v>
      </c>
      <c r="AH61" s="88" t="s">
        <v>1482</v>
      </c>
      <c r="AI61" s="88">
        <v>12392</v>
      </c>
      <c r="AJ61" s="88">
        <v>41</v>
      </c>
      <c r="AK61" s="88">
        <v>230</v>
      </c>
      <c r="AL61" s="88">
        <v>12</v>
      </c>
      <c r="AM61" s="88" t="s">
        <v>1705</v>
      </c>
      <c r="AN61" s="100" t="str">
        <f>HYPERLINK("https://www.youtube.com/watch?v=li_wbkIj6-Q")</f>
        <v>https://www.youtube.com/watch?v=li_wbkIj6-Q</v>
      </c>
      <c r="AO61" s="88" t="str">
        <f>REPLACE(INDEX(GroupVertices[Group],MATCH(Vertices[[#This Row],[Vertex]],GroupVertices[Vertex],0)),1,1,"")</f>
        <v>4</v>
      </c>
      <c r="AP61" s="48">
        <v>1</v>
      </c>
      <c r="AQ61" s="49">
        <v>2.3255813953488373</v>
      </c>
      <c r="AR61" s="48">
        <v>5</v>
      </c>
      <c r="AS61" s="49">
        <v>11.627906976744185</v>
      </c>
      <c r="AT61" s="48">
        <v>0</v>
      </c>
      <c r="AU61" s="49">
        <v>0</v>
      </c>
      <c r="AV61" s="48">
        <v>37</v>
      </c>
      <c r="AW61" s="49">
        <v>86.04651162790698</v>
      </c>
      <c r="AX61" s="48">
        <v>43</v>
      </c>
      <c r="AY61" s="48"/>
      <c r="AZ61" s="48"/>
      <c r="BA61" s="48"/>
      <c r="BB61" s="48"/>
      <c r="BC61" s="2"/>
      <c r="BD61" s="3"/>
      <c r="BE61" s="3"/>
      <c r="BF61" s="3"/>
      <c r="BG61" s="3"/>
    </row>
    <row r="62" spans="1:59" ht="15">
      <c r="A62" s="65" t="s">
        <v>287</v>
      </c>
      <c r="B62" s="66"/>
      <c r="C62" s="66"/>
      <c r="D62" s="67">
        <v>86.62906263077137</v>
      </c>
      <c r="E62" s="69"/>
      <c r="F62" s="98" t="str">
        <f>HYPERLINK("https://i.ytimg.com/vi/4J1AqK0ayTE/default.jpg")</f>
        <v>https://i.ytimg.com/vi/4J1AqK0ayTE/default.jpg</v>
      </c>
      <c r="G62" s="66"/>
      <c r="H62" s="70" t="s">
        <v>564</v>
      </c>
      <c r="I62" s="71"/>
      <c r="J62" s="71" t="s">
        <v>159</v>
      </c>
      <c r="K62" s="70" t="s">
        <v>564</v>
      </c>
      <c r="L62" s="74">
        <v>909.9090909090909</v>
      </c>
      <c r="M62" s="75">
        <v>9694.923828125</v>
      </c>
      <c r="N62" s="75">
        <v>8760.681640625</v>
      </c>
      <c r="O62" s="76"/>
      <c r="P62" s="77"/>
      <c r="Q62" s="77"/>
      <c r="R62" s="91"/>
      <c r="S62" s="48">
        <v>1</v>
      </c>
      <c r="T62" s="48">
        <v>0</v>
      </c>
      <c r="U62" s="49">
        <v>0</v>
      </c>
      <c r="V62" s="49">
        <v>0.00085</v>
      </c>
      <c r="W62" s="49">
        <v>0.002481</v>
      </c>
      <c r="X62" s="49">
        <v>0.386851</v>
      </c>
      <c r="Y62" s="49">
        <v>0</v>
      </c>
      <c r="Z62" s="49">
        <v>0</v>
      </c>
      <c r="AA62" s="72">
        <v>62</v>
      </c>
      <c r="AB62" s="72"/>
      <c r="AC62" s="73"/>
      <c r="AD62" s="88" t="s">
        <v>564</v>
      </c>
      <c r="AE62" s="88" t="s">
        <v>840</v>
      </c>
      <c r="AF62" s="88" t="s">
        <v>1113</v>
      </c>
      <c r="AG62" s="88" t="s">
        <v>1329</v>
      </c>
      <c r="AH62" s="88" t="s">
        <v>1483</v>
      </c>
      <c r="AI62" s="88">
        <v>61245</v>
      </c>
      <c r="AJ62" s="88">
        <v>158</v>
      </c>
      <c r="AK62" s="88">
        <v>607</v>
      </c>
      <c r="AL62" s="88">
        <v>40</v>
      </c>
      <c r="AM62" s="88" t="s">
        <v>1705</v>
      </c>
      <c r="AN62" s="100" t="str">
        <f>HYPERLINK("https://www.youtube.com/watch?v=4J1AqK0ayTE")</f>
        <v>https://www.youtube.com/watch?v=4J1AqK0ayTE</v>
      </c>
      <c r="AO62" s="88" t="str">
        <f>REPLACE(INDEX(GroupVertices[Group],MATCH(Vertices[[#This Row],[Vertex]],GroupVertices[Vertex],0)),1,1,"")</f>
        <v>4</v>
      </c>
      <c r="AP62" s="48">
        <v>0</v>
      </c>
      <c r="AQ62" s="49">
        <v>0</v>
      </c>
      <c r="AR62" s="48">
        <v>8</v>
      </c>
      <c r="AS62" s="49">
        <v>25.806451612903224</v>
      </c>
      <c r="AT62" s="48">
        <v>0</v>
      </c>
      <c r="AU62" s="49">
        <v>0</v>
      </c>
      <c r="AV62" s="48">
        <v>23</v>
      </c>
      <c r="AW62" s="49">
        <v>74.19354838709677</v>
      </c>
      <c r="AX62" s="48">
        <v>31</v>
      </c>
      <c r="AY62" s="48"/>
      <c r="AZ62" s="48"/>
      <c r="BA62" s="48"/>
      <c r="BB62" s="48"/>
      <c r="BC62" s="2"/>
      <c r="BD62" s="3"/>
      <c r="BE62" s="3"/>
      <c r="BF62" s="3"/>
      <c r="BG62" s="3"/>
    </row>
    <row r="63" spans="1:59" ht="15">
      <c r="A63" s="65" t="s">
        <v>288</v>
      </c>
      <c r="B63" s="66"/>
      <c r="C63" s="66"/>
      <c r="D63" s="67">
        <v>152.74941282473713</v>
      </c>
      <c r="E63" s="69"/>
      <c r="F63" s="98" t="str">
        <f>HYPERLINK("https://i.ytimg.com/vi/7tziw5i3vy8/default.jpg")</f>
        <v>https://i.ytimg.com/vi/7tziw5i3vy8/default.jpg</v>
      </c>
      <c r="G63" s="66"/>
      <c r="H63" s="70" t="s">
        <v>565</v>
      </c>
      <c r="I63" s="71"/>
      <c r="J63" s="71" t="s">
        <v>159</v>
      </c>
      <c r="K63" s="70" t="s">
        <v>565</v>
      </c>
      <c r="L63" s="74">
        <v>909.9090909090909</v>
      </c>
      <c r="M63" s="75">
        <v>9446.17578125</v>
      </c>
      <c r="N63" s="75">
        <v>7034.64453125</v>
      </c>
      <c r="O63" s="76"/>
      <c r="P63" s="77"/>
      <c r="Q63" s="77"/>
      <c r="R63" s="91"/>
      <c r="S63" s="48">
        <v>1</v>
      </c>
      <c r="T63" s="48">
        <v>0</v>
      </c>
      <c r="U63" s="49">
        <v>0</v>
      </c>
      <c r="V63" s="49">
        <v>0.00085</v>
      </c>
      <c r="W63" s="49">
        <v>0.002481</v>
      </c>
      <c r="X63" s="49">
        <v>0.386851</v>
      </c>
      <c r="Y63" s="49">
        <v>0</v>
      </c>
      <c r="Z63" s="49">
        <v>0</v>
      </c>
      <c r="AA63" s="72">
        <v>63</v>
      </c>
      <c r="AB63" s="72"/>
      <c r="AC63" s="73"/>
      <c r="AD63" s="88" t="s">
        <v>565</v>
      </c>
      <c r="AE63" s="88" t="s">
        <v>841</v>
      </c>
      <c r="AF63" s="88" t="s">
        <v>1114</v>
      </c>
      <c r="AG63" s="88" t="s">
        <v>1341</v>
      </c>
      <c r="AH63" s="88" t="s">
        <v>1484</v>
      </c>
      <c r="AI63" s="88">
        <v>671284</v>
      </c>
      <c r="AJ63" s="88">
        <v>2172</v>
      </c>
      <c r="AK63" s="88">
        <v>8149</v>
      </c>
      <c r="AL63" s="88">
        <v>991</v>
      </c>
      <c r="AM63" s="88" t="s">
        <v>1705</v>
      </c>
      <c r="AN63" s="100" t="str">
        <f>HYPERLINK("https://www.youtube.com/watch?v=7tziw5i3vy8")</f>
        <v>https://www.youtube.com/watch?v=7tziw5i3vy8</v>
      </c>
      <c r="AO63" s="88" t="str">
        <f>REPLACE(INDEX(GroupVertices[Group],MATCH(Vertices[[#This Row],[Vertex]],GroupVertices[Vertex],0)),1,1,"")</f>
        <v>4</v>
      </c>
      <c r="AP63" s="48">
        <v>0</v>
      </c>
      <c r="AQ63" s="49">
        <v>0</v>
      </c>
      <c r="AR63" s="48">
        <v>2</v>
      </c>
      <c r="AS63" s="49">
        <v>4.25531914893617</v>
      </c>
      <c r="AT63" s="48">
        <v>0</v>
      </c>
      <c r="AU63" s="49">
        <v>0</v>
      </c>
      <c r="AV63" s="48">
        <v>45</v>
      </c>
      <c r="AW63" s="49">
        <v>95.74468085106383</v>
      </c>
      <c r="AX63" s="48">
        <v>47</v>
      </c>
      <c r="AY63" s="48"/>
      <c r="AZ63" s="48"/>
      <c r="BA63" s="48"/>
      <c r="BB63" s="48"/>
      <c r="BC63" s="2"/>
      <c r="BD63" s="3"/>
      <c r="BE63" s="3"/>
      <c r="BF63" s="3"/>
      <c r="BG63" s="3"/>
    </row>
    <row r="64" spans="1:59" ht="15">
      <c r="A64" s="65" t="s">
        <v>289</v>
      </c>
      <c r="B64" s="66"/>
      <c r="C64" s="66"/>
      <c r="D64" s="67">
        <v>182.46286564148193</v>
      </c>
      <c r="E64" s="69"/>
      <c r="F64" s="98" t="str">
        <f>HYPERLINK("https://i.ytimg.com/vi/taAHtUDo18Q/default.jpg")</f>
        <v>https://i.ytimg.com/vi/taAHtUDo18Q/default.jpg</v>
      </c>
      <c r="G64" s="66"/>
      <c r="H64" s="70" t="s">
        <v>566</v>
      </c>
      <c r="I64" s="71"/>
      <c r="J64" s="71" t="s">
        <v>159</v>
      </c>
      <c r="K64" s="70" t="s">
        <v>566</v>
      </c>
      <c r="L64" s="74">
        <v>909.9090909090909</v>
      </c>
      <c r="M64" s="75">
        <v>9545.2822265625</v>
      </c>
      <c r="N64" s="75">
        <v>7833.80712890625</v>
      </c>
      <c r="O64" s="76"/>
      <c r="P64" s="77"/>
      <c r="Q64" s="77"/>
      <c r="R64" s="91"/>
      <c r="S64" s="48">
        <v>1</v>
      </c>
      <c r="T64" s="48">
        <v>0</v>
      </c>
      <c r="U64" s="49">
        <v>0</v>
      </c>
      <c r="V64" s="49">
        <v>0.00085</v>
      </c>
      <c r="W64" s="49">
        <v>0.002481</v>
      </c>
      <c r="X64" s="49">
        <v>0.386851</v>
      </c>
      <c r="Y64" s="49">
        <v>0</v>
      </c>
      <c r="Z64" s="49">
        <v>0</v>
      </c>
      <c r="AA64" s="72">
        <v>64</v>
      </c>
      <c r="AB64" s="72"/>
      <c r="AC64" s="73"/>
      <c r="AD64" s="88" t="s">
        <v>566</v>
      </c>
      <c r="AE64" s="88" t="s">
        <v>842</v>
      </c>
      <c r="AF64" s="88" t="s">
        <v>1115</v>
      </c>
      <c r="AG64" s="88" t="s">
        <v>1329</v>
      </c>
      <c r="AH64" s="88" t="s">
        <v>1485</v>
      </c>
      <c r="AI64" s="88">
        <v>945426</v>
      </c>
      <c r="AJ64" s="88">
        <v>4679</v>
      </c>
      <c r="AK64" s="88">
        <v>9976</v>
      </c>
      <c r="AL64" s="88">
        <v>1326</v>
      </c>
      <c r="AM64" s="88" t="s">
        <v>1705</v>
      </c>
      <c r="AN64" s="100" t="str">
        <f>HYPERLINK("https://www.youtube.com/watch?v=taAHtUDo18Q")</f>
        <v>https://www.youtube.com/watch?v=taAHtUDo18Q</v>
      </c>
      <c r="AO64" s="88" t="str">
        <f>REPLACE(INDEX(GroupVertices[Group],MATCH(Vertices[[#This Row],[Vertex]],GroupVertices[Vertex],0)),1,1,"")</f>
        <v>4</v>
      </c>
      <c r="AP64" s="48">
        <v>0</v>
      </c>
      <c r="AQ64" s="49">
        <v>0</v>
      </c>
      <c r="AR64" s="48">
        <v>5</v>
      </c>
      <c r="AS64" s="49">
        <v>5.882352941176471</v>
      </c>
      <c r="AT64" s="48">
        <v>0</v>
      </c>
      <c r="AU64" s="49">
        <v>0</v>
      </c>
      <c r="AV64" s="48">
        <v>80</v>
      </c>
      <c r="AW64" s="49">
        <v>94.11764705882354</v>
      </c>
      <c r="AX64" s="48">
        <v>85</v>
      </c>
      <c r="AY64" s="48"/>
      <c r="AZ64" s="48"/>
      <c r="BA64" s="48"/>
      <c r="BB64" s="48"/>
      <c r="BC64" s="2"/>
      <c r="BD64" s="3"/>
      <c r="BE64" s="3"/>
      <c r="BF64" s="3"/>
      <c r="BG64" s="3"/>
    </row>
    <row r="65" spans="1:59" ht="15">
      <c r="A65" s="65" t="s">
        <v>290</v>
      </c>
      <c r="B65" s="66"/>
      <c r="C65" s="66"/>
      <c r="D65" s="67">
        <v>407.91147508227994</v>
      </c>
      <c r="E65" s="69"/>
      <c r="F65" s="98" t="str">
        <f>HYPERLINK("https://i.ytimg.com/vi/TLpbfOJ4bJU/default.jpg")</f>
        <v>https://i.ytimg.com/vi/TLpbfOJ4bJU/default.jpg</v>
      </c>
      <c r="G65" s="66"/>
      <c r="H65" s="70" t="s">
        <v>567</v>
      </c>
      <c r="I65" s="71"/>
      <c r="J65" s="71" t="s">
        <v>159</v>
      </c>
      <c r="K65" s="70" t="s">
        <v>567</v>
      </c>
      <c r="L65" s="74">
        <v>909.9090909090909</v>
      </c>
      <c r="M65" s="75">
        <v>9071.337890625</v>
      </c>
      <c r="N65" s="75">
        <v>7157.35107421875</v>
      </c>
      <c r="O65" s="76"/>
      <c r="P65" s="77"/>
      <c r="Q65" s="77"/>
      <c r="R65" s="91"/>
      <c r="S65" s="48">
        <v>1</v>
      </c>
      <c r="T65" s="48">
        <v>0</v>
      </c>
      <c r="U65" s="49">
        <v>0</v>
      </c>
      <c r="V65" s="49">
        <v>0.00085</v>
      </c>
      <c r="W65" s="49">
        <v>0.002481</v>
      </c>
      <c r="X65" s="49">
        <v>0.386851</v>
      </c>
      <c r="Y65" s="49">
        <v>0</v>
      </c>
      <c r="Z65" s="49">
        <v>0</v>
      </c>
      <c r="AA65" s="72">
        <v>65</v>
      </c>
      <c r="AB65" s="72"/>
      <c r="AC65" s="73"/>
      <c r="AD65" s="88" t="s">
        <v>567</v>
      </c>
      <c r="AE65" s="88" t="s">
        <v>843</v>
      </c>
      <c r="AF65" s="88" t="s">
        <v>1116</v>
      </c>
      <c r="AG65" s="88" t="s">
        <v>1342</v>
      </c>
      <c r="AH65" s="88" t="s">
        <v>1486</v>
      </c>
      <c r="AI65" s="88">
        <v>3025458</v>
      </c>
      <c r="AJ65" s="88">
        <v>2285</v>
      </c>
      <c r="AK65" s="88">
        <v>31797</v>
      </c>
      <c r="AL65" s="88">
        <v>884</v>
      </c>
      <c r="AM65" s="88" t="s">
        <v>1705</v>
      </c>
      <c r="AN65" s="100" t="str">
        <f>HYPERLINK("https://www.youtube.com/watch?v=TLpbfOJ4bJU")</f>
        <v>https://www.youtube.com/watch?v=TLpbfOJ4bJU</v>
      </c>
      <c r="AO65" s="88" t="str">
        <f>REPLACE(INDEX(GroupVertices[Group],MATCH(Vertices[[#This Row],[Vertex]],GroupVertices[Vertex],0)),1,1,"")</f>
        <v>4</v>
      </c>
      <c r="AP65" s="48">
        <v>0</v>
      </c>
      <c r="AQ65" s="49">
        <v>0</v>
      </c>
      <c r="AR65" s="48">
        <v>0</v>
      </c>
      <c r="AS65" s="49">
        <v>0</v>
      </c>
      <c r="AT65" s="48">
        <v>0</v>
      </c>
      <c r="AU65" s="49">
        <v>0</v>
      </c>
      <c r="AV65" s="48">
        <v>37</v>
      </c>
      <c r="AW65" s="49">
        <v>100</v>
      </c>
      <c r="AX65" s="48">
        <v>37</v>
      </c>
      <c r="AY65" s="48"/>
      <c r="AZ65" s="48"/>
      <c r="BA65" s="48"/>
      <c r="BB65" s="48"/>
      <c r="BC65" s="2"/>
      <c r="BD65" s="3"/>
      <c r="BE65" s="3"/>
      <c r="BF65" s="3"/>
      <c r="BG65" s="3"/>
    </row>
    <row r="66" spans="1:59" ht="15">
      <c r="A66" s="65" t="s">
        <v>291</v>
      </c>
      <c r="B66" s="66"/>
      <c r="C66" s="66"/>
      <c r="D66" s="67">
        <v>87.54179029077899</v>
      </c>
      <c r="E66" s="69"/>
      <c r="F66" s="98" t="str">
        <f>HYPERLINK("https://i.ytimg.com/vi/jMLGyL5neik/default.jpg")</f>
        <v>https://i.ytimg.com/vi/jMLGyL5neik/default.jpg</v>
      </c>
      <c r="G66" s="66"/>
      <c r="H66" s="70" t="s">
        <v>568</v>
      </c>
      <c r="I66" s="71"/>
      <c r="J66" s="71" t="s">
        <v>159</v>
      </c>
      <c r="K66" s="70" t="s">
        <v>568</v>
      </c>
      <c r="L66" s="74">
        <v>909.9090909090909</v>
      </c>
      <c r="M66" s="75">
        <v>9709.9365234375</v>
      </c>
      <c r="N66" s="75">
        <v>7408.84033203125</v>
      </c>
      <c r="O66" s="76"/>
      <c r="P66" s="77"/>
      <c r="Q66" s="77"/>
      <c r="R66" s="91"/>
      <c r="S66" s="48">
        <v>1</v>
      </c>
      <c r="T66" s="48">
        <v>0</v>
      </c>
      <c r="U66" s="49">
        <v>0</v>
      </c>
      <c r="V66" s="49">
        <v>0.00085</v>
      </c>
      <c r="W66" s="49">
        <v>0.002481</v>
      </c>
      <c r="X66" s="49">
        <v>0.386851</v>
      </c>
      <c r="Y66" s="49">
        <v>0</v>
      </c>
      <c r="Z66" s="49">
        <v>0</v>
      </c>
      <c r="AA66" s="72">
        <v>66</v>
      </c>
      <c r="AB66" s="72"/>
      <c r="AC66" s="73"/>
      <c r="AD66" s="88" t="s">
        <v>568</v>
      </c>
      <c r="AE66" s="88" t="s">
        <v>844</v>
      </c>
      <c r="AF66" s="88" t="s">
        <v>1117</v>
      </c>
      <c r="AG66" s="88" t="s">
        <v>1329</v>
      </c>
      <c r="AH66" s="88" t="s">
        <v>1487</v>
      </c>
      <c r="AI66" s="88">
        <v>69666</v>
      </c>
      <c r="AJ66" s="88">
        <v>179</v>
      </c>
      <c r="AK66" s="88">
        <v>985</v>
      </c>
      <c r="AL66" s="88">
        <v>74</v>
      </c>
      <c r="AM66" s="88" t="s">
        <v>1705</v>
      </c>
      <c r="AN66" s="100" t="str">
        <f>HYPERLINK("https://www.youtube.com/watch?v=jMLGyL5neik")</f>
        <v>https://www.youtube.com/watch?v=jMLGyL5neik</v>
      </c>
      <c r="AO66" s="88" t="str">
        <f>REPLACE(INDEX(GroupVertices[Group],MATCH(Vertices[[#This Row],[Vertex]],GroupVertices[Vertex],0)),1,1,"")</f>
        <v>4</v>
      </c>
      <c r="AP66" s="48">
        <v>0</v>
      </c>
      <c r="AQ66" s="49">
        <v>0</v>
      </c>
      <c r="AR66" s="48">
        <v>3</v>
      </c>
      <c r="AS66" s="49">
        <v>11.11111111111111</v>
      </c>
      <c r="AT66" s="48">
        <v>0</v>
      </c>
      <c r="AU66" s="49">
        <v>0</v>
      </c>
      <c r="AV66" s="48">
        <v>24</v>
      </c>
      <c r="AW66" s="49">
        <v>88.88888888888889</v>
      </c>
      <c r="AX66" s="48">
        <v>27</v>
      </c>
      <c r="AY66" s="48"/>
      <c r="AZ66" s="48"/>
      <c r="BA66" s="48"/>
      <c r="BB66" s="48"/>
      <c r="BC66" s="2"/>
      <c r="BD66" s="3"/>
      <c r="BE66" s="3"/>
      <c r="BF66" s="3"/>
      <c r="BG66" s="3"/>
    </row>
    <row r="67" spans="1:59" ht="15">
      <c r="A67" s="65" t="s">
        <v>292</v>
      </c>
      <c r="B67" s="66"/>
      <c r="C67" s="66"/>
      <c r="D67" s="67">
        <v>91.54300799613954</v>
      </c>
      <c r="E67" s="69"/>
      <c r="F67" s="98" t="str">
        <f>HYPERLINK("https://i.ytimg.com/vi/Z2UvQS87pqE/default.jpg")</f>
        <v>https://i.ytimg.com/vi/Z2UvQS87pqE/default.jpg</v>
      </c>
      <c r="G67" s="66"/>
      <c r="H67" s="70" t="s">
        <v>569</v>
      </c>
      <c r="I67" s="71"/>
      <c r="J67" s="71" t="s">
        <v>159</v>
      </c>
      <c r="K67" s="70" t="s">
        <v>569</v>
      </c>
      <c r="L67" s="74">
        <v>909.9090909090909</v>
      </c>
      <c r="M67" s="75">
        <v>8984.2177734375</v>
      </c>
      <c r="N67" s="75">
        <v>6718.9814453125</v>
      </c>
      <c r="O67" s="76"/>
      <c r="P67" s="77"/>
      <c r="Q67" s="77"/>
      <c r="R67" s="91"/>
      <c r="S67" s="48">
        <v>1</v>
      </c>
      <c r="T67" s="48">
        <v>0</v>
      </c>
      <c r="U67" s="49">
        <v>0</v>
      </c>
      <c r="V67" s="49">
        <v>0.00085</v>
      </c>
      <c r="W67" s="49">
        <v>0.002481</v>
      </c>
      <c r="X67" s="49">
        <v>0.386851</v>
      </c>
      <c r="Y67" s="49">
        <v>0</v>
      </c>
      <c r="Z67" s="49">
        <v>0</v>
      </c>
      <c r="AA67" s="72">
        <v>67</v>
      </c>
      <c r="AB67" s="72"/>
      <c r="AC67" s="73"/>
      <c r="AD67" s="88" t="s">
        <v>569</v>
      </c>
      <c r="AE67" s="88" t="s">
        <v>845</v>
      </c>
      <c r="AF67" s="88" t="s">
        <v>1118</v>
      </c>
      <c r="AG67" s="88" t="s">
        <v>1329</v>
      </c>
      <c r="AH67" s="88" t="s">
        <v>1488</v>
      </c>
      <c r="AI67" s="88">
        <v>106582</v>
      </c>
      <c r="AJ67" s="88">
        <v>249</v>
      </c>
      <c r="AK67" s="88">
        <v>1373</v>
      </c>
      <c r="AL67" s="88">
        <v>68</v>
      </c>
      <c r="AM67" s="88" t="s">
        <v>1705</v>
      </c>
      <c r="AN67" s="100" t="str">
        <f>HYPERLINK("https://www.youtube.com/watch?v=Z2UvQS87pqE")</f>
        <v>https://www.youtube.com/watch?v=Z2UvQS87pqE</v>
      </c>
      <c r="AO67" s="88" t="str">
        <f>REPLACE(INDEX(GroupVertices[Group],MATCH(Vertices[[#This Row],[Vertex]],GroupVertices[Vertex],0)),1,1,"")</f>
        <v>4</v>
      </c>
      <c r="AP67" s="48">
        <v>0</v>
      </c>
      <c r="AQ67" s="49">
        <v>0</v>
      </c>
      <c r="AR67" s="48">
        <v>2</v>
      </c>
      <c r="AS67" s="49">
        <v>3.225806451612903</v>
      </c>
      <c r="AT67" s="48">
        <v>0</v>
      </c>
      <c r="AU67" s="49">
        <v>0</v>
      </c>
      <c r="AV67" s="48">
        <v>60</v>
      </c>
      <c r="AW67" s="49">
        <v>96.7741935483871</v>
      </c>
      <c r="AX67" s="48">
        <v>62</v>
      </c>
      <c r="AY67" s="48"/>
      <c r="AZ67" s="48"/>
      <c r="BA67" s="48"/>
      <c r="BB67" s="48"/>
      <c r="BC67" s="2"/>
      <c r="BD67" s="3"/>
      <c r="BE67" s="3"/>
      <c r="BF67" s="3"/>
      <c r="BG67" s="3"/>
    </row>
    <row r="68" spans="1:59" ht="15">
      <c r="A68" s="65" t="s">
        <v>293</v>
      </c>
      <c r="B68" s="66"/>
      <c r="C68" s="66"/>
      <c r="D68" s="67">
        <v>84.61826539190886</v>
      </c>
      <c r="E68" s="69"/>
      <c r="F68" s="98" t="str">
        <f>HYPERLINK("https://i.ytimg.com/vi/DuBFsNmVawc/default.jpg")</f>
        <v>https://i.ytimg.com/vi/DuBFsNmVawc/default.jpg</v>
      </c>
      <c r="G68" s="66"/>
      <c r="H68" s="70" t="s">
        <v>570</v>
      </c>
      <c r="I68" s="71"/>
      <c r="J68" s="71" t="s">
        <v>159</v>
      </c>
      <c r="K68" s="70" t="s">
        <v>570</v>
      </c>
      <c r="L68" s="74">
        <v>909.9090909090909</v>
      </c>
      <c r="M68" s="75">
        <v>8318.3076171875</v>
      </c>
      <c r="N68" s="75">
        <v>6814.39501953125</v>
      </c>
      <c r="O68" s="76"/>
      <c r="P68" s="77"/>
      <c r="Q68" s="77"/>
      <c r="R68" s="91"/>
      <c r="S68" s="48">
        <v>1</v>
      </c>
      <c r="T68" s="48">
        <v>0</v>
      </c>
      <c r="U68" s="49">
        <v>0</v>
      </c>
      <c r="V68" s="49">
        <v>0.00085</v>
      </c>
      <c r="W68" s="49">
        <v>0.002481</v>
      </c>
      <c r="X68" s="49">
        <v>0.386851</v>
      </c>
      <c r="Y68" s="49">
        <v>0</v>
      </c>
      <c r="Z68" s="49">
        <v>0</v>
      </c>
      <c r="AA68" s="72">
        <v>68</v>
      </c>
      <c r="AB68" s="72"/>
      <c r="AC68" s="73"/>
      <c r="AD68" s="88" t="s">
        <v>570</v>
      </c>
      <c r="AE68" s="88" t="s">
        <v>846</v>
      </c>
      <c r="AF68" s="88" t="s">
        <v>1119</v>
      </c>
      <c r="AG68" s="88" t="s">
        <v>1329</v>
      </c>
      <c r="AH68" s="88" t="s">
        <v>1489</v>
      </c>
      <c r="AI68" s="88">
        <v>42693</v>
      </c>
      <c r="AJ68" s="88">
        <v>100</v>
      </c>
      <c r="AK68" s="88">
        <v>622</v>
      </c>
      <c r="AL68" s="88">
        <v>20</v>
      </c>
      <c r="AM68" s="88" t="s">
        <v>1705</v>
      </c>
      <c r="AN68" s="100" t="str">
        <f>HYPERLINK("https://www.youtube.com/watch?v=DuBFsNmVawc")</f>
        <v>https://www.youtube.com/watch?v=DuBFsNmVawc</v>
      </c>
      <c r="AO68" s="88" t="str">
        <f>REPLACE(INDEX(GroupVertices[Group],MATCH(Vertices[[#This Row],[Vertex]],GroupVertices[Vertex],0)),1,1,"")</f>
        <v>4</v>
      </c>
      <c r="AP68" s="48">
        <v>0</v>
      </c>
      <c r="AQ68" s="49">
        <v>0</v>
      </c>
      <c r="AR68" s="48">
        <v>1</v>
      </c>
      <c r="AS68" s="49">
        <v>3.3333333333333335</v>
      </c>
      <c r="AT68" s="48">
        <v>0</v>
      </c>
      <c r="AU68" s="49">
        <v>0</v>
      </c>
      <c r="AV68" s="48">
        <v>29</v>
      </c>
      <c r="AW68" s="49">
        <v>96.66666666666667</v>
      </c>
      <c r="AX68" s="48">
        <v>30</v>
      </c>
      <c r="AY68" s="48"/>
      <c r="AZ68" s="48"/>
      <c r="BA68" s="48"/>
      <c r="BB68" s="48"/>
      <c r="BC68" s="2"/>
      <c r="BD68" s="3"/>
      <c r="BE68" s="3"/>
      <c r="BF68" s="3"/>
      <c r="BG68" s="3"/>
    </row>
    <row r="69" spans="1:59" ht="15">
      <c r="A69" s="65" t="s">
        <v>294</v>
      </c>
      <c r="B69" s="66"/>
      <c r="C69" s="66"/>
      <c r="D69" s="67">
        <v>100.51474912630583</v>
      </c>
      <c r="E69" s="69"/>
      <c r="F69" s="98" t="str">
        <f>HYPERLINK("https://i.ytimg.com/vi/FhxaNRTaA3g/default.jpg")</f>
        <v>https://i.ytimg.com/vi/FhxaNRTaA3g/default.jpg</v>
      </c>
      <c r="G69" s="66"/>
      <c r="H69" s="70" t="s">
        <v>571</v>
      </c>
      <c r="I69" s="71"/>
      <c r="J69" s="71" t="s">
        <v>159</v>
      </c>
      <c r="K69" s="70" t="s">
        <v>571</v>
      </c>
      <c r="L69" s="74">
        <v>909.9090909090909</v>
      </c>
      <c r="M69" s="75">
        <v>9780.3818359375</v>
      </c>
      <c r="N69" s="75">
        <v>8417.603515625</v>
      </c>
      <c r="O69" s="76"/>
      <c r="P69" s="77"/>
      <c r="Q69" s="77"/>
      <c r="R69" s="91"/>
      <c r="S69" s="48">
        <v>1</v>
      </c>
      <c r="T69" s="48">
        <v>0</v>
      </c>
      <c r="U69" s="49">
        <v>0</v>
      </c>
      <c r="V69" s="49">
        <v>0.00085</v>
      </c>
      <c r="W69" s="49">
        <v>0.002481</v>
      </c>
      <c r="X69" s="49">
        <v>0.386851</v>
      </c>
      <c r="Y69" s="49">
        <v>0</v>
      </c>
      <c r="Z69" s="49">
        <v>0</v>
      </c>
      <c r="AA69" s="72">
        <v>69</v>
      </c>
      <c r="AB69" s="72"/>
      <c r="AC69" s="73"/>
      <c r="AD69" s="88" t="s">
        <v>571</v>
      </c>
      <c r="AE69" s="88" t="s">
        <v>847</v>
      </c>
      <c r="AF69" s="88" t="s">
        <v>1120</v>
      </c>
      <c r="AG69" s="88" t="s">
        <v>1329</v>
      </c>
      <c r="AH69" s="88" t="s">
        <v>1490</v>
      </c>
      <c r="AI69" s="88">
        <v>189357</v>
      </c>
      <c r="AJ69" s="88">
        <v>256</v>
      </c>
      <c r="AK69" s="88">
        <v>1076</v>
      </c>
      <c r="AL69" s="88">
        <v>119</v>
      </c>
      <c r="AM69" s="88" t="s">
        <v>1705</v>
      </c>
      <c r="AN69" s="100" t="str">
        <f>HYPERLINK("https://www.youtube.com/watch?v=FhxaNRTaA3g")</f>
        <v>https://www.youtube.com/watch?v=FhxaNRTaA3g</v>
      </c>
      <c r="AO69" s="88" t="str">
        <f>REPLACE(INDEX(GroupVertices[Group],MATCH(Vertices[[#This Row],[Vertex]],GroupVertices[Vertex],0)),1,1,"")</f>
        <v>4</v>
      </c>
      <c r="AP69" s="48">
        <v>0</v>
      </c>
      <c r="AQ69" s="49">
        <v>0</v>
      </c>
      <c r="AR69" s="48">
        <v>0</v>
      </c>
      <c r="AS69" s="49">
        <v>0</v>
      </c>
      <c r="AT69" s="48">
        <v>0</v>
      </c>
      <c r="AU69" s="49">
        <v>0</v>
      </c>
      <c r="AV69" s="48">
        <v>29</v>
      </c>
      <c r="AW69" s="49">
        <v>100</v>
      </c>
      <c r="AX69" s="48">
        <v>29</v>
      </c>
      <c r="AY69" s="48"/>
      <c r="AZ69" s="48"/>
      <c r="BA69" s="48"/>
      <c r="BB69" s="48"/>
      <c r="BC69" s="2"/>
      <c r="BD69" s="3"/>
      <c r="BE69" s="3"/>
      <c r="BF69" s="3"/>
      <c r="BG69" s="3"/>
    </row>
    <row r="70" spans="1:59" ht="15">
      <c r="A70" s="65" t="s">
        <v>295</v>
      </c>
      <c r="B70" s="66"/>
      <c r="C70" s="66"/>
      <c r="D70" s="67">
        <v>1000</v>
      </c>
      <c r="E70" s="69"/>
      <c r="F70" s="98" t="str">
        <f>HYPERLINK("https://i.ytimg.com/vi/NvqKZHpKs-g/default_live.jpg")</f>
        <v>https://i.ytimg.com/vi/NvqKZHpKs-g/default_live.jpg</v>
      </c>
      <c r="G70" s="66"/>
      <c r="H70" s="70" t="s">
        <v>572</v>
      </c>
      <c r="I70" s="71"/>
      <c r="J70" s="71" t="s">
        <v>159</v>
      </c>
      <c r="K70" s="70" t="s">
        <v>572</v>
      </c>
      <c r="L70" s="74">
        <v>909.9090909090909</v>
      </c>
      <c r="M70" s="75">
        <v>8621.6240234375</v>
      </c>
      <c r="N70" s="75">
        <v>6789.06298828125</v>
      </c>
      <c r="O70" s="76"/>
      <c r="P70" s="77"/>
      <c r="Q70" s="77"/>
      <c r="R70" s="91"/>
      <c r="S70" s="48">
        <v>1</v>
      </c>
      <c r="T70" s="48">
        <v>0</v>
      </c>
      <c r="U70" s="49">
        <v>0</v>
      </c>
      <c r="V70" s="49">
        <v>0.00085</v>
      </c>
      <c r="W70" s="49">
        <v>0.002481</v>
      </c>
      <c r="X70" s="49">
        <v>0.386851</v>
      </c>
      <c r="Y70" s="49">
        <v>0</v>
      </c>
      <c r="Z70" s="49">
        <v>0</v>
      </c>
      <c r="AA70" s="72">
        <v>70</v>
      </c>
      <c r="AB70" s="72"/>
      <c r="AC70" s="73"/>
      <c r="AD70" s="88" t="s">
        <v>572</v>
      </c>
      <c r="AE70" s="88" t="s">
        <v>848</v>
      </c>
      <c r="AF70" s="88" t="s">
        <v>1121</v>
      </c>
      <c r="AG70" s="88" t="s">
        <v>1329</v>
      </c>
      <c r="AH70" s="88" t="s">
        <v>1491</v>
      </c>
      <c r="AI70" s="88">
        <v>14268300</v>
      </c>
      <c r="AJ70" s="88">
        <v>0</v>
      </c>
      <c r="AK70" s="88">
        <v>43075</v>
      </c>
      <c r="AL70" s="88">
        <v>5559</v>
      </c>
      <c r="AM70" s="88" t="s">
        <v>1705</v>
      </c>
      <c r="AN70" s="100" t="str">
        <f>HYPERLINK("https://www.youtube.com/watch?v=NvqKZHpKs-g")</f>
        <v>https://www.youtube.com/watch?v=NvqKZHpKs-g</v>
      </c>
      <c r="AO70" s="88" t="str">
        <f>REPLACE(INDEX(GroupVertices[Group],MATCH(Vertices[[#This Row],[Vertex]],GroupVertices[Vertex],0)),1,1,"")</f>
        <v>4</v>
      </c>
      <c r="AP70" s="48">
        <v>0</v>
      </c>
      <c r="AQ70" s="49">
        <v>0</v>
      </c>
      <c r="AR70" s="48">
        <v>1</v>
      </c>
      <c r="AS70" s="49">
        <v>4</v>
      </c>
      <c r="AT70" s="48">
        <v>0</v>
      </c>
      <c r="AU70" s="49">
        <v>0</v>
      </c>
      <c r="AV70" s="48">
        <v>24</v>
      </c>
      <c r="AW70" s="49">
        <v>96</v>
      </c>
      <c r="AX70" s="48">
        <v>25</v>
      </c>
      <c r="AY70" s="48"/>
      <c r="AZ70" s="48"/>
      <c r="BA70" s="48"/>
      <c r="BB70" s="48"/>
      <c r="BC70" s="2"/>
      <c r="BD70" s="3"/>
      <c r="BE70" s="3"/>
      <c r="BF70" s="3"/>
      <c r="BG70" s="3"/>
    </row>
    <row r="71" spans="1:59" ht="15">
      <c r="A71" s="65" t="s">
        <v>296</v>
      </c>
      <c r="B71" s="66"/>
      <c r="C71" s="66"/>
      <c r="D71" s="67">
        <v>80.17428643596868</v>
      </c>
      <c r="E71" s="69"/>
      <c r="F71" s="98" t="str">
        <f>HYPERLINK("https://i.ytimg.com/vi/EwwjJkZmedk/default.jpg")</f>
        <v>https://i.ytimg.com/vi/EwwjJkZmedk/default.jpg</v>
      </c>
      <c r="G71" s="66"/>
      <c r="H71" s="70" t="s">
        <v>573</v>
      </c>
      <c r="I71" s="71"/>
      <c r="J71" s="71" t="s">
        <v>159</v>
      </c>
      <c r="K71" s="70" t="s">
        <v>573</v>
      </c>
      <c r="L71" s="74">
        <v>909.9090909090909</v>
      </c>
      <c r="M71" s="75">
        <v>325.31781005859375</v>
      </c>
      <c r="N71" s="75">
        <v>3540.120361328125</v>
      </c>
      <c r="O71" s="76"/>
      <c r="P71" s="77"/>
      <c r="Q71" s="77"/>
      <c r="R71" s="91"/>
      <c r="S71" s="48">
        <v>1</v>
      </c>
      <c r="T71" s="48">
        <v>0</v>
      </c>
      <c r="U71" s="49">
        <v>0</v>
      </c>
      <c r="V71" s="49">
        <v>0.000927</v>
      </c>
      <c r="W71" s="49">
        <v>0.003809</v>
      </c>
      <c r="X71" s="49">
        <v>0.351912</v>
      </c>
      <c r="Y71" s="49">
        <v>0</v>
      </c>
      <c r="Z71" s="49">
        <v>0</v>
      </c>
      <c r="AA71" s="72">
        <v>71</v>
      </c>
      <c r="AB71" s="72"/>
      <c r="AC71" s="73"/>
      <c r="AD71" s="88" t="s">
        <v>573</v>
      </c>
      <c r="AE71" s="88" t="s">
        <v>849</v>
      </c>
      <c r="AF71" s="88" t="s">
        <v>1122</v>
      </c>
      <c r="AG71" s="88" t="s">
        <v>1343</v>
      </c>
      <c r="AH71" s="88" t="s">
        <v>1492</v>
      </c>
      <c r="AI71" s="88">
        <v>1692</v>
      </c>
      <c r="AJ71" s="88">
        <v>3</v>
      </c>
      <c r="AK71" s="88">
        <v>20</v>
      </c>
      <c r="AL71" s="88">
        <v>0</v>
      </c>
      <c r="AM71" s="88" t="s">
        <v>1705</v>
      </c>
      <c r="AN71" s="100" t="str">
        <f>HYPERLINK("https://www.youtube.com/watch?v=EwwjJkZmedk")</f>
        <v>https://www.youtube.com/watch?v=EwwjJkZmedk</v>
      </c>
      <c r="AO71" s="88" t="str">
        <f>REPLACE(INDEX(GroupVertices[Group],MATCH(Vertices[[#This Row],[Vertex]],GroupVertices[Vertex],0)),1,1,"")</f>
        <v>2</v>
      </c>
      <c r="AP71" s="48">
        <v>0</v>
      </c>
      <c r="AQ71" s="49">
        <v>0</v>
      </c>
      <c r="AR71" s="48">
        <v>0</v>
      </c>
      <c r="AS71" s="49">
        <v>0</v>
      </c>
      <c r="AT71" s="48">
        <v>0</v>
      </c>
      <c r="AU71" s="49">
        <v>0</v>
      </c>
      <c r="AV71" s="48">
        <v>7</v>
      </c>
      <c r="AW71" s="49">
        <v>100</v>
      </c>
      <c r="AX71" s="48">
        <v>7</v>
      </c>
      <c r="AY71" s="48"/>
      <c r="AZ71" s="48"/>
      <c r="BA71" s="48"/>
      <c r="BB71" s="48"/>
      <c r="BC71" s="2"/>
      <c r="BD71" s="3"/>
      <c r="BE71" s="3"/>
      <c r="BF71" s="3"/>
      <c r="BG71" s="3"/>
    </row>
    <row r="72" spans="1:59" ht="15">
      <c r="A72" s="65" t="s">
        <v>297</v>
      </c>
      <c r="B72" s="66"/>
      <c r="C72" s="66"/>
      <c r="D72" s="67">
        <v>254.34691596325018</v>
      </c>
      <c r="E72" s="69"/>
      <c r="F72" s="98" t="str">
        <f>HYPERLINK("https://i.ytimg.com/vi/eQJteHRyclI/default.jpg")</f>
        <v>https://i.ytimg.com/vi/eQJteHRyclI/default.jpg</v>
      </c>
      <c r="G72" s="66"/>
      <c r="H72" s="70" t="s">
        <v>574</v>
      </c>
      <c r="I72" s="71"/>
      <c r="J72" s="71" t="s">
        <v>159</v>
      </c>
      <c r="K72" s="70" t="s">
        <v>574</v>
      </c>
      <c r="L72" s="74">
        <v>909.9090909090909</v>
      </c>
      <c r="M72" s="75">
        <v>1998.0706787109375</v>
      </c>
      <c r="N72" s="75">
        <v>4551.56787109375</v>
      </c>
      <c r="O72" s="76"/>
      <c r="P72" s="77"/>
      <c r="Q72" s="77"/>
      <c r="R72" s="91"/>
      <c r="S72" s="48">
        <v>1</v>
      </c>
      <c r="T72" s="48">
        <v>0</v>
      </c>
      <c r="U72" s="49">
        <v>0</v>
      </c>
      <c r="V72" s="49">
        <v>0.000927</v>
      </c>
      <c r="W72" s="49">
        <v>0.003809</v>
      </c>
      <c r="X72" s="49">
        <v>0.351912</v>
      </c>
      <c r="Y72" s="49">
        <v>0</v>
      </c>
      <c r="Z72" s="49">
        <v>0</v>
      </c>
      <c r="AA72" s="72">
        <v>72</v>
      </c>
      <c r="AB72" s="72"/>
      <c r="AC72" s="73"/>
      <c r="AD72" s="88" t="s">
        <v>574</v>
      </c>
      <c r="AE72" s="88" t="s">
        <v>850</v>
      </c>
      <c r="AF72" s="88" t="s">
        <v>1123</v>
      </c>
      <c r="AG72" s="88" t="s">
        <v>1344</v>
      </c>
      <c r="AH72" s="88" t="s">
        <v>1493</v>
      </c>
      <c r="AI72" s="88">
        <v>1608642</v>
      </c>
      <c r="AJ72" s="88">
        <v>2922</v>
      </c>
      <c r="AK72" s="88">
        <v>29090</v>
      </c>
      <c r="AL72" s="88">
        <v>1301</v>
      </c>
      <c r="AM72" s="88" t="s">
        <v>1705</v>
      </c>
      <c r="AN72" s="100" t="str">
        <f>HYPERLINK("https://www.youtube.com/watch?v=eQJteHRyclI")</f>
        <v>https://www.youtube.com/watch?v=eQJteHRyclI</v>
      </c>
      <c r="AO72" s="88" t="str">
        <f>REPLACE(INDEX(GroupVertices[Group],MATCH(Vertices[[#This Row],[Vertex]],GroupVertices[Vertex],0)),1,1,"")</f>
        <v>2</v>
      </c>
      <c r="AP72" s="48">
        <v>1</v>
      </c>
      <c r="AQ72" s="49">
        <v>2.1739130434782608</v>
      </c>
      <c r="AR72" s="48">
        <v>5</v>
      </c>
      <c r="AS72" s="49">
        <v>10.869565217391305</v>
      </c>
      <c r="AT72" s="48">
        <v>0</v>
      </c>
      <c r="AU72" s="49">
        <v>0</v>
      </c>
      <c r="AV72" s="48">
        <v>40</v>
      </c>
      <c r="AW72" s="49">
        <v>86.95652173913044</v>
      </c>
      <c r="AX72" s="48">
        <v>46</v>
      </c>
      <c r="AY72" s="48"/>
      <c r="AZ72" s="48"/>
      <c r="BA72" s="48"/>
      <c r="BB72" s="48"/>
      <c r="BC72" s="2"/>
      <c r="BD72" s="3"/>
      <c r="BE72" s="3"/>
      <c r="BF72" s="3"/>
      <c r="BG72" s="3"/>
    </row>
    <row r="73" spans="1:59" ht="15">
      <c r="A73" s="65" t="s">
        <v>219</v>
      </c>
      <c r="B73" s="66"/>
      <c r="C73" s="66"/>
      <c r="D73" s="67">
        <v>86.4976974812726</v>
      </c>
      <c r="E73" s="69"/>
      <c r="F73" s="98" t="str">
        <f>HYPERLINK("https://i.ytimg.com/vi/T_YjHa8rL9Y/default.jpg")</f>
        <v>https://i.ytimg.com/vi/T_YjHa8rL9Y/default.jpg</v>
      </c>
      <c r="G73" s="66"/>
      <c r="H73" s="70" t="s">
        <v>575</v>
      </c>
      <c r="I73" s="71"/>
      <c r="J73" s="71" t="s">
        <v>159</v>
      </c>
      <c r="K73" s="70" t="s">
        <v>575</v>
      </c>
      <c r="L73" s="74">
        <v>1</v>
      </c>
      <c r="M73" s="75">
        <v>8139.26953125</v>
      </c>
      <c r="N73" s="75">
        <v>8649.5712890625</v>
      </c>
      <c r="O73" s="76"/>
      <c r="P73" s="77"/>
      <c r="Q73" s="77"/>
      <c r="R73" s="91"/>
      <c r="S73" s="48">
        <v>0</v>
      </c>
      <c r="T73" s="48">
        <v>20</v>
      </c>
      <c r="U73" s="49">
        <v>6989.027338</v>
      </c>
      <c r="V73" s="49">
        <v>0.001044</v>
      </c>
      <c r="W73" s="49">
        <v>0.014807</v>
      </c>
      <c r="X73" s="49">
        <v>6.250106</v>
      </c>
      <c r="Y73" s="49">
        <v>0.010526315789473684</v>
      </c>
      <c r="Z73" s="49">
        <v>0</v>
      </c>
      <c r="AA73" s="72">
        <v>73</v>
      </c>
      <c r="AB73" s="72"/>
      <c r="AC73" s="73"/>
      <c r="AD73" s="88" t="s">
        <v>575</v>
      </c>
      <c r="AE73" s="88" t="s">
        <v>851</v>
      </c>
      <c r="AF73" s="88" t="s">
        <v>1124</v>
      </c>
      <c r="AG73" s="88" t="s">
        <v>1345</v>
      </c>
      <c r="AH73" s="88" t="s">
        <v>1494</v>
      </c>
      <c r="AI73" s="88">
        <v>60033</v>
      </c>
      <c r="AJ73" s="88">
        <v>382</v>
      </c>
      <c r="AK73" s="88">
        <v>450</v>
      </c>
      <c r="AL73" s="88">
        <v>320</v>
      </c>
      <c r="AM73" s="88" t="s">
        <v>1705</v>
      </c>
      <c r="AN73" s="100" t="str">
        <f>HYPERLINK("https://www.youtube.com/watch?v=T_YjHa8rL9Y")</f>
        <v>https://www.youtube.com/watch?v=T_YjHa8rL9Y</v>
      </c>
      <c r="AO73" s="88" t="str">
        <f>REPLACE(INDEX(GroupVertices[Group],MATCH(Vertices[[#This Row],[Vertex]],GroupVertices[Vertex],0)),1,1,"")</f>
        <v>4</v>
      </c>
      <c r="AP73" s="48">
        <v>0</v>
      </c>
      <c r="AQ73" s="49">
        <v>0</v>
      </c>
      <c r="AR73" s="48">
        <v>2</v>
      </c>
      <c r="AS73" s="49">
        <v>3.389830508474576</v>
      </c>
      <c r="AT73" s="48">
        <v>0</v>
      </c>
      <c r="AU73" s="49">
        <v>0</v>
      </c>
      <c r="AV73" s="48">
        <v>57</v>
      </c>
      <c r="AW73" s="49">
        <v>96.61016949152543</v>
      </c>
      <c r="AX73" s="48">
        <v>59</v>
      </c>
      <c r="AY73" s="121" t="s">
        <v>2747</v>
      </c>
      <c r="AZ73" s="121" t="s">
        <v>2747</v>
      </c>
      <c r="BA73" s="121" t="s">
        <v>2747</v>
      </c>
      <c r="BB73" s="121" t="s">
        <v>2747</v>
      </c>
      <c r="BC73" s="2"/>
      <c r="BD73" s="3"/>
      <c r="BE73" s="3"/>
      <c r="BF73" s="3"/>
      <c r="BG73" s="3"/>
    </row>
    <row r="74" spans="1:59" ht="15">
      <c r="A74" s="65" t="s">
        <v>298</v>
      </c>
      <c r="B74" s="66"/>
      <c r="C74" s="66"/>
      <c r="D74" s="67">
        <v>164.47982209437782</v>
      </c>
      <c r="E74" s="69"/>
      <c r="F74" s="98" t="str">
        <f>HYPERLINK("https://i.ytimg.com/vi/fndcCyYzXKg/default.jpg")</f>
        <v>https://i.ytimg.com/vi/fndcCyYzXKg/default.jpg</v>
      </c>
      <c r="G74" s="66"/>
      <c r="H74" s="70" t="s">
        <v>576</v>
      </c>
      <c r="I74" s="71"/>
      <c r="J74" s="71" t="s">
        <v>159</v>
      </c>
      <c r="K74" s="70" t="s">
        <v>576</v>
      </c>
      <c r="L74" s="74">
        <v>909.9090909090909</v>
      </c>
      <c r="M74" s="75">
        <v>8509.2021484375</v>
      </c>
      <c r="N74" s="75">
        <v>9854.505859375</v>
      </c>
      <c r="O74" s="76"/>
      <c r="P74" s="77"/>
      <c r="Q74" s="77"/>
      <c r="R74" s="91"/>
      <c r="S74" s="48">
        <v>1</v>
      </c>
      <c r="T74" s="48">
        <v>0</v>
      </c>
      <c r="U74" s="49">
        <v>0</v>
      </c>
      <c r="V74" s="49">
        <v>0.000809</v>
      </c>
      <c r="W74" s="49">
        <v>0.001491</v>
      </c>
      <c r="X74" s="49">
        <v>0.415629</v>
      </c>
      <c r="Y74" s="49">
        <v>0</v>
      </c>
      <c r="Z74" s="49">
        <v>0</v>
      </c>
      <c r="AA74" s="72">
        <v>74</v>
      </c>
      <c r="AB74" s="72"/>
      <c r="AC74" s="73"/>
      <c r="AD74" s="88" t="s">
        <v>576</v>
      </c>
      <c r="AE74" s="88" t="s">
        <v>852</v>
      </c>
      <c r="AF74" s="88" t="s">
        <v>1125</v>
      </c>
      <c r="AG74" s="88" t="s">
        <v>1345</v>
      </c>
      <c r="AH74" s="88" t="s">
        <v>1495</v>
      </c>
      <c r="AI74" s="88">
        <v>779511</v>
      </c>
      <c r="AJ74" s="88">
        <v>2013</v>
      </c>
      <c r="AK74" s="88">
        <v>7521</v>
      </c>
      <c r="AL74" s="88">
        <v>419</v>
      </c>
      <c r="AM74" s="88" t="s">
        <v>1705</v>
      </c>
      <c r="AN74" s="100" t="str">
        <f>HYPERLINK("https://www.youtube.com/watch?v=fndcCyYzXKg")</f>
        <v>https://www.youtube.com/watch?v=fndcCyYzXKg</v>
      </c>
      <c r="AO74" s="88" t="str">
        <f>REPLACE(INDEX(GroupVertices[Group],MATCH(Vertices[[#This Row],[Vertex]],GroupVertices[Vertex],0)),1,1,"")</f>
        <v>4</v>
      </c>
      <c r="AP74" s="48">
        <v>3</v>
      </c>
      <c r="AQ74" s="49">
        <v>4.838709677419355</v>
      </c>
      <c r="AR74" s="48">
        <v>4</v>
      </c>
      <c r="AS74" s="49">
        <v>6.451612903225806</v>
      </c>
      <c r="AT74" s="48">
        <v>0</v>
      </c>
      <c r="AU74" s="49">
        <v>0</v>
      </c>
      <c r="AV74" s="48">
        <v>55</v>
      </c>
      <c r="AW74" s="49">
        <v>88.70967741935483</v>
      </c>
      <c r="AX74" s="48">
        <v>62</v>
      </c>
      <c r="AY74" s="48"/>
      <c r="AZ74" s="48"/>
      <c r="BA74" s="48"/>
      <c r="BB74" s="48"/>
      <c r="BC74" s="2"/>
      <c r="BD74" s="3"/>
      <c r="BE74" s="3"/>
      <c r="BF74" s="3"/>
      <c r="BG74" s="3"/>
    </row>
    <row r="75" spans="1:59" ht="15">
      <c r="A75" s="65" t="s">
        <v>299</v>
      </c>
      <c r="B75" s="66"/>
      <c r="C75" s="66"/>
      <c r="D75" s="67">
        <v>165.85178584219594</v>
      </c>
      <c r="E75" s="69"/>
      <c r="F75" s="98" t="str">
        <f>HYPERLINK("https://i.ytimg.com/vi/mL1EWOtql5M/default.jpg")</f>
        <v>https://i.ytimg.com/vi/mL1EWOtql5M/default.jpg</v>
      </c>
      <c r="G75" s="66"/>
      <c r="H75" s="70" t="s">
        <v>577</v>
      </c>
      <c r="I75" s="71"/>
      <c r="J75" s="71" t="s">
        <v>159</v>
      </c>
      <c r="K75" s="70" t="s">
        <v>577</v>
      </c>
      <c r="L75" s="74">
        <v>909.9090909090909</v>
      </c>
      <c r="M75" s="75">
        <v>7470.44091796875</v>
      </c>
      <c r="N75" s="75">
        <v>7668.47412109375</v>
      </c>
      <c r="O75" s="76"/>
      <c r="P75" s="77"/>
      <c r="Q75" s="77"/>
      <c r="R75" s="91"/>
      <c r="S75" s="48">
        <v>1</v>
      </c>
      <c r="T75" s="48">
        <v>0</v>
      </c>
      <c r="U75" s="49">
        <v>0</v>
      </c>
      <c r="V75" s="49">
        <v>0.000809</v>
      </c>
      <c r="W75" s="49">
        <v>0.001491</v>
      </c>
      <c r="X75" s="49">
        <v>0.415629</v>
      </c>
      <c r="Y75" s="49">
        <v>0</v>
      </c>
      <c r="Z75" s="49">
        <v>0</v>
      </c>
      <c r="AA75" s="72">
        <v>75</v>
      </c>
      <c r="AB75" s="72"/>
      <c r="AC75" s="73"/>
      <c r="AD75" s="88" t="s">
        <v>577</v>
      </c>
      <c r="AE75" s="88" t="s">
        <v>853</v>
      </c>
      <c r="AF75" s="88" t="s">
        <v>1126</v>
      </c>
      <c r="AG75" s="88" t="s">
        <v>1346</v>
      </c>
      <c r="AH75" s="88" t="s">
        <v>1496</v>
      </c>
      <c r="AI75" s="88">
        <v>792169</v>
      </c>
      <c r="AJ75" s="88">
        <v>0</v>
      </c>
      <c r="AK75" s="88">
        <v>14856</v>
      </c>
      <c r="AL75" s="88">
        <v>577</v>
      </c>
      <c r="AM75" s="88" t="s">
        <v>1705</v>
      </c>
      <c r="AN75" s="100" t="str">
        <f>HYPERLINK("https://www.youtube.com/watch?v=mL1EWOtql5M")</f>
        <v>https://www.youtube.com/watch?v=mL1EWOtql5M</v>
      </c>
      <c r="AO75" s="88" t="str">
        <f>REPLACE(INDEX(GroupVertices[Group],MATCH(Vertices[[#This Row],[Vertex]],GroupVertices[Vertex],0)),1,1,"")</f>
        <v>4</v>
      </c>
      <c r="AP75" s="48">
        <v>1</v>
      </c>
      <c r="AQ75" s="49">
        <v>1.5384615384615385</v>
      </c>
      <c r="AR75" s="48">
        <v>3</v>
      </c>
      <c r="AS75" s="49">
        <v>4.615384615384615</v>
      </c>
      <c r="AT75" s="48">
        <v>0</v>
      </c>
      <c r="AU75" s="49">
        <v>0</v>
      </c>
      <c r="AV75" s="48">
        <v>61</v>
      </c>
      <c r="AW75" s="49">
        <v>93.84615384615384</v>
      </c>
      <c r="AX75" s="48">
        <v>65</v>
      </c>
      <c r="AY75" s="48"/>
      <c r="AZ75" s="48"/>
      <c r="BA75" s="48"/>
      <c r="BB75" s="48"/>
      <c r="BC75" s="2"/>
      <c r="BD75" s="3"/>
      <c r="BE75" s="3"/>
      <c r="BF75" s="3"/>
      <c r="BG75" s="3"/>
    </row>
    <row r="76" spans="1:59" ht="15">
      <c r="A76" s="65" t="s">
        <v>300</v>
      </c>
      <c r="B76" s="66"/>
      <c r="C76" s="66"/>
      <c r="D76" s="67">
        <v>84.8859814969105</v>
      </c>
      <c r="E76" s="69"/>
      <c r="F76" s="98" t="str">
        <f>HYPERLINK("https://i.ytimg.com/vi/VmT6Hc9aMRg/default.jpg")</f>
        <v>https://i.ytimg.com/vi/VmT6Hc9aMRg/default.jpg</v>
      </c>
      <c r="G76" s="66"/>
      <c r="H76" s="70" t="s">
        <v>578</v>
      </c>
      <c r="I76" s="71"/>
      <c r="J76" s="71" t="s">
        <v>159</v>
      </c>
      <c r="K76" s="70" t="s">
        <v>578</v>
      </c>
      <c r="L76" s="74">
        <v>909.9090909090909</v>
      </c>
      <c r="M76" s="75">
        <v>7706.9521484375</v>
      </c>
      <c r="N76" s="75">
        <v>9714.7294921875</v>
      </c>
      <c r="O76" s="76"/>
      <c r="P76" s="77"/>
      <c r="Q76" s="77"/>
      <c r="R76" s="91"/>
      <c r="S76" s="48">
        <v>1</v>
      </c>
      <c r="T76" s="48">
        <v>0</v>
      </c>
      <c r="U76" s="49">
        <v>0</v>
      </c>
      <c r="V76" s="49">
        <v>0.000809</v>
      </c>
      <c r="W76" s="49">
        <v>0.001491</v>
      </c>
      <c r="X76" s="49">
        <v>0.415629</v>
      </c>
      <c r="Y76" s="49">
        <v>0</v>
      </c>
      <c r="Z76" s="49">
        <v>0</v>
      </c>
      <c r="AA76" s="72">
        <v>76</v>
      </c>
      <c r="AB76" s="72"/>
      <c r="AC76" s="73"/>
      <c r="AD76" s="88" t="s">
        <v>578</v>
      </c>
      <c r="AE76" s="88" t="s">
        <v>854</v>
      </c>
      <c r="AF76" s="88" t="s">
        <v>1127</v>
      </c>
      <c r="AG76" s="88" t="s">
        <v>1345</v>
      </c>
      <c r="AH76" s="88" t="s">
        <v>1497</v>
      </c>
      <c r="AI76" s="88">
        <v>45163</v>
      </c>
      <c r="AJ76" s="88">
        <v>161</v>
      </c>
      <c r="AK76" s="88">
        <v>754</v>
      </c>
      <c r="AL76" s="88">
        <v>16</v>
      </c>
      <c r="AM76" s="88" t="s">
        <v>1705</v>
      </c>
      <c r="AN76" s="100" t="str">
        <f>HYPERLINK("https://www.youtube.com/watch?v=VmT6Hc9aMRg")</f>
        <v>https://www.youtube.com/watch?v=VmT6Hc9aMRg</v>
      </c>
      <c r="AO76" s="88" t="str">
        <f>REPLACE(INDEX(GroupVertices[Group],MATCH(Vertices[[#This Row],[Vertex]],GroupVertices[Vertex],0)),1,1,"")</f>
        <v>4</v>
      </c>
      <c r="AP76" s="48">
        <v>0</v>
      </c>
      <c r="AQ76" s="49">
        <v>0</v>
      </c>
      <c r="AR76" s="48">
        <v>0</v>
      </c>
      <c r="AS76" s="49">
        <v>0</v>
      </c>
      <c r="AT76" s="48">
        <v>0</v>
      </c>
      <c r="AU76" s="49">
        <v>0</v>
      </c>
      <c r="AV76" s="48">
        <v>45</v>
      </c>
      <c r="AW76" s="49">
        <v>100</v>
      </c>
      <c r="AX76" s="48">
        <v>45</v>
      </c>
      <c r="AY76" s="48"/>
      <c r="AZ76" s="48"/>
      <c r="BA76" s="48"/>
      <c r="BB76" s="48"/>
      <c r="BC76" s="2"/>
      <c r="BD76" s="3"/>
      <c r="BE76" s="3"/>
      <c r="BF76" s="3"/>
      <c r="BG76" s="3"/>
    </row>
    <row r="77" spans="1:59" ht="15">
      <c r="A77" s="65" t="s">
        <v>301</v>
      </c>
      <c r="B77" s="66"/>
      <c r="C77" s="66"/>
      <c r="D77" s="67">
        <v>138.20711735588287</v>
      </c>
      <c r="E77" s="69"/>
      <c r="F77" s="98" t="str">
        <f>HYPERLINK("https://i.ytimg.com/vi/foXMXCAgKq4/default.jpg")</f>
        <v>https://i.ytimg.com/vi/foXMXCAgKq4/default.jpg</v>
      </c>
      <c r="G77" s="66"/>
      <c r="H77" s="70" t="s">
        <v>579</v>
      </c>
      <c r="I77" s="71"/>
      <c r="J77" s="71" t="s">
        <v>159</v>
      </c>
      <c r="K77" s="70" t="s">
        <v>579</v>
      </c>
      <c r="L77" s="74">
        <v>909.9090909090909</v>
      </c>
      <c r="M77" s="75">
        <v>8114.8525390625</v>
      </c>
      <c r="N77" s="75">
        <v>9851.6318359375</v>
      </c>
      <c r="O77" s="76"/>
      <c r="P77" s="77"/>
      <c r="Q77" s="77"/>
      <c r="R77" s="91"/>
      <c r="S77" s="48">
        <v>1</v>
      </c>
      <c r="T77" s="48">
        <v>0</v>
      </c>
      <c r="U77" s="49">
        <v>0</v>
      </c>
      <c r="V77" s="49">
        <v>0.000809</v>
      </c>
      <c r="W77" s="49">
        <v>0.001491</v>
      </c>
      <c r="X77" s="49">
        <v>0.415629</v>
      </c>
      <c r="Y77" s="49">
        <v>0</v>
      </c>
      <c r="Z77" s="49">
        <v>0</v>
      </c>
      <c r="AA77" s="72">
        <v>77</v>
      </c>
      <c r="AB77" s="72"/>
      <c r="AC77" s="73"/>
      <c r="AD77" s="88" t="s">
        <v>579</v>
      </c>
      <c r="AE77" s="88" t="s">
        <v>855</v>
      </c>
      <c r="AF77" s="88" t="s">
        <v>1128</v>
      </c>
      <c r="AG77" s="88" t="s">
        <v>1342</v>
      </c>
      <c r="AH77" s="88" t="s">
        <v>1498</v>
      </c>
      <c r="AI77" s="88">
        <v>537114</v>
      </c>
      <c r="AJ77" s="88">
        <v>1236</v>
      </c>
      <c r="AK77" s="88">
        <v>4957</v>
      </c>
      <c r="AL77" s="88">
        <v>515</v>
      </c>
      <c r="AM77" s="88" t="s">
        <v>1705</v>
      </c>
      <c r="AN77" s="100" t="str">
        <f>HYPERLINK("https://www.youtube.com/watch?v=foXMXCAgKq4")</f>
        <v>https://www.youtube.com/watch?v=foXMXCAgKq4</v>
      </c>
      <c r="AO77" s="88" t="str">
        <f>REPLACE(INDEX(GroupVertices[Group],MATCH(Vertices[[#This Row],[Vertex]],GroupVertices[Vertex],0)),1,1,"")</f>
        <v>4</v>
      </c>
      <c r="AP77" s="48">
        <v>1</v>
      </c>
      <c r="AQ77" s="49">
        <v>5.2631578947368425</v>
      </c>
      <c r="AR77" s="48">
        <v>0</v>
      </c>
      <c r="AS77" s="49">
        <v>0</v>
      </c>
      <c r="AT77" s="48">
        <v>0</v>
      </c>
      <c r="AU77" s="49">
        <v>0</v>
      </c>
      <c r="AV77" s="48">
        <v>18</v>
      </c>
      <c r="AW77" s="49">
        <v>94.73684210526316</v>
      </c>
      <c r="AX77" s="48">
        <v>19</v>
      </c>
      <c r="AY77" s="48"/>
      <c r="AZ77" s="48"/>
      <c r="BA77" s="48"/>
      <c r="BB77" s="48"/>
      <c r="BC77" s="2"/>
      <c r="BD77" s="3"/>
      <c r="BE77" s="3"/>
      <c r="BF77" s="3"/>
      <c r="BG77" s="3"/>
    </row>
    <row r="78" spans="1:59" ht="15">
      <c r="A78" s="65" t="s">
        <v>302</v>
      </c>
      <c r="B78" s="66"/>
      <c r="C78" s="66"/>
      <c r="D78" s="67">
        <v>106.12584023554871</v>
      </c>
      <c r="E78" s="69"/>
      <c r="F78" s="98" t="str">
        <f>HYPERLINK("https://i.ytimg.com/vi/rRMkEDwJxbU/default.jpg")</f>
        <v>https://i.ytimg.com/vi/rRMkEDwJxbU/default.jpg</v>
      </c>
      <c r="G78" s="66"/>
      <c r="H78" s="70" t="s">
        <v>580</v>
      </c>
      <c r="I78" s="71"/>
      <c r="J78" s="71" t="s">
        <v>159</v>
      </c>
      <c r="K78" s="70" t="s">
        <v>580</v>
      </c>
      <c r="L78" s="74">
        <v>909.9090909090909</v>
      </c>
      <c r="M78" s="75">
        <v>7182.2138671875</v>
      </c>
      <c r="N78" s="75">
        <v>8971.2333984375</v>
      </c>
      <c r="O78" s="76"/>
      <c r="P78" s="77"/>
      <c r="Q78" s="77"/>
      <c r="R78" s="91"/>
      <c r="S78" s="48">
        <v>1</v>
      </c>
      <c r="T78" s="48">
        <v>0</v>
      </c>
      <c r="U78" s="49">
        <v>0</v>
      </c>
      <c r="V78" s="49">
        <v>0.000809</v>
      </c>
      <c r="W78" s="49">
        <v>0.001491</v>
      </c>
      <c r="X78" s="49">
        <v>0.415629</v>
      </c>
      <c r="Y78" s="49">
        <v>0</v>
      </c>
      <c r="Z78" s="49">
        <v>0</v>
      </c>
      <c r="AA78" s="72">
        <v>78</v>
      </c>
      <c r="AB78" s="72"/>
      <c r="AC78" s="73"/>
      <c r="AD78" s="88" t="s">
        <v>580</v>
      </c>
      <c r="AE78" s="88" t="s">
        <v>856</v>
      </c>
      <c r="AF78" s="88" t="s">
        <v>1129</v>
      </c>
      <c r="AG78" s="88" t="s">
        <v>1347</v>
      </c>
      <c r="AH78" s="88" t="s">
        <v>1499</v>
      </c>
      <c r="AI78" s="88">
        <v>241126</v>
      </c>
      <c r="AJ78" s="88">
        <v>309</v>
      </c>
      <c r="AK78" s="88">
        <v>2320</v>
      </c>
      <c r="AL78" s="88">
        <v>195</v>
      </c>
      <c r="AM78" s="88" t="s">
        <v>1705</v>
      </c>
      <c r="AN78" s="100" t="str">
        <f>HYPERLINK("https://www.youtube.com/watch?v=rRMkEDwJxbU")</f>
        <v>https://www.youtube.com/watch?v=rRMkEDwJxbU</v>
      </c>
      <c r="AO78" s="88" t="str">
        <f>REPLACE(INDEX(GroupVertices[Group],MATCH(Vertices[[#This Row],[Vertex]],GroupVertices[Vertex],0)),1,1,"")</f>
        <v>4</v>
      </c>
      <c r="AP78" s="48">
        <v>0</v>
      </c>
      <c r="AQ78" s="49">
        <v>0</v>
      </c>
      <c r="AR78" s="48">
        <v>0</v>
      </c>
      <c r="AS78" s="49">
        <v>0</v>
      </c>
      <c r="AT78" s="48">
        <v>0</v>
      </c>
      <c r="AU78" s="49">
        <v>0</v>
      </c>
      <c r="AV78" s="48">
        <v>21</v>
      </c>
      <c r="AW78" s="49">
        <v>100</v>
      </c>
      <c r="AX78" s="48">
        <v>21</v>
      </c>
      <c r="AY78" s="48"/>
      <c r="AZ78" s="48"/>
      <c r="BA78" s="48"/>
      <c r="BB78" s="48"/>
      <c r="BC78" s="2"/>
      <c r="BD78" s="3"/>
      <c r="BE78" s="3"/>
      <c r="BF78" s="3"/>
      <c r="BG78" s="3"/>
    </row>
    <row r="79" spans="1:59" ht="15">
      <c r="A79" s="65" t="s">
        <v>303</v>
      </c>
      <c r="B79" s="66"/>
      <c r="C79" s="66"/>
      <c r="D79" s="67">
        <v>92.19127116375687</v>
      </c>
      <c r="E79" s="69"/>
      <c r="F79" s="98" t="str">
        <f>HYPERLINK("https://i.ytimg.com/vi/qb-D5tG3Vdw/default.jpg")</f>
        <v>https://i.ytimg.com/vi/qb-D5tG3Vdw/default.jpg</v>
      </c>
      <c r="G79" s="66"/>
      <c r="H79" s="70" t="s">
        <v>581</v>
      </c>
      <c r="I79" s="71"/>
      <c r="J79" s="71" t="s">
        <v>159</v>
      </c>
      <c r="K79" s="70" t="s">
        <v>581</v>
      </c>
      <c r="L79" s="74">
        <v>909.9090909090909</v>
      </c>
      <c r="M79" s="75">
        <v>7564.93408203125</v>
      </c>
      <c r="N79" s="75">
        <v>8747.0107421875</v>
      </c>
      <c r="O79" s="76"/>
      <c r="P79" s="77"/>
      <c r="Q79" s="77"/>
      <c r="R79" s="91"/>
      <c r="S79" s="48">
        <v>1</v>
      </c>
      <c r="T79" s="48">
        <v>0</v>
      </c>
      <c r="U79" s="49">
        <v>0</v>
      </c>
      <c r="V79" s="49">
        <v>0.000809</v>
      </c>
      <c r="W79" s="49">
        <v>0.001491</v>
      </c>
      <c r="X79" s="49">
        <v>0.415629</v>
      </c>
      <c r="Y79" s="49">
        <v>0</v>
      </c>
      <c r="Z79" s="49">
        <v>0</v>
      </c>
      <c r="AA79" s="72">
        <v>79</v>
      </c>
      <c r="AB79" s="72"/>
      <c r="AC79" s="73"/>
      <c r="AD79" s="88" t="s">
        <v>581</v>
      </c>
      <c r="AE79" s="88" t="s">
        <v>857</v>
      </c>
      <c r="AF79" s="88" t="s">
        <v>1130</v>
      </c>
      <c r="AG79" s="88" t="s">
        <v>1348</v>
      </c>
      <c r="AH79" s="88" t="s">
        <v>1500</v>
      </c>
      <c r="AI79" s="88">
        <v>112563</v>
      </c>
      <c r="AJ79" s="88">
        <v>362</v>
      </c>
      <c r="AK79" s="88">
        <v>1552</v>
      </c>
      <c r="AL79" s="88">
        <v>105</v>
      </c>
      <c r="AM79" s="88" t="s">
        <v>1705</v>
      </c>
      <c r="AN79" s="100" t="str">
        <f>HYPERLINK("https://www.youtube.com/watch?v=qb-D5tG3Vdw")</f>
        <v>https://www.youtube.com/watch?v=qb-D5tG3Vdw</v>
      </c>
      <c r="AO79" s="88" t="str">
        <f>REPLACE(INDEX(GroupVertices[Group],MATCH(Vertices[[#This Row],[Vertex]],GroupVertices[Vertex],0)),1,1,"")</f>
        <v>4</v>
      </c>
      <c r="AP79" s="48">
        <v>0</v>
      </c>
      <c r="AQ79" s="49">
        <v>0</v>
      </c>
      <c r="AR79" s="48">
        <v>0</v>
      </c>
      <c r="AS79" s="49">
        <v>0</v>
      </c>
      <c r="AT79" s="48">
        <v>0</v>
      </c>
      <c r="AU79" s="49">
        <v>0</v>
      </c>
      <c r="AV79" s="48">
        <v>58</v>
      </c>
      <c r="AW79" s="49">
        <v>100</v>
      </c>
      <c r="AX79" s="48">
        <v>58</v>
      </c>
      <c r="AY79" s="48"/>
      <c r="AZ79" s="48"/>
      <c r="BA79" s="48"/>
      <c r="BB79" s="48"/>
      <c r="BC79" s="2"/>
      <c r="BD79" s="3"/>
      <c r="BE79" s="3"/>
      <c r="BF79" s="3"/>
      <c r="BG79" s="3"/>
    </row>
    <row r="80" spans="1:59" ht="15">
      <c r="A80" s="65" t="s">
        <v>304</v>
      </c>
      <c r="B80" s="66"/>
      <c r="C80" s="66"/>
      <c r="D80" s="67">
        <v>93.78792134301969</v>
      </c>
      <c r="E80" s="69"/>
      <c r="F80" s="98" t="str">
        <f>HYPERLINK("https://i.ytimg.com/vi/pjVnFWHomtg/default.jpg")</f>
        <v>https://i.ytimg.com/vi/pjVnFWHomtg/default.jpg</v>
      </c>
      <c r="G80" s="66"/>
      <c r="H80" s="70" t="s">
        <v>582</v>
      </c>
      <c r="I80" s="71"/>
      <c r="J80" s="71" t="s">
        <v>159</v>
      </c>
      <c r="K80" s="70" t="s">
        <v>582</v>
      </c>
      <c r="L80" s="74">
        <v>909.9090909090909</v>
      </c>
      <c r="M80" s="75">
        <v>8838.55859375</v>
      </c>
      <c r="N80" s="75">
        <v>9594.0244140625</v>
      </c>
      <c r="O80" s="76"/>
      <c r="P80" s="77"/>
      <c r="Q80" s="77"/>
      <c r="R80" s="91"/>
      <c r="S80" s="48">
        <v>1</v>
      </c>
      <c r="T80" s="48">
        <v>0</v>
      </c>
      <c r="U80" s="49">
        <v>0</v>
      </c>
      <c r="V80" s="49">
        <v>0.000809</v>
      </c>
      <c r="W80" s="49">
        <v>0.001491</v>
      </c>
      <c r="X80" s="49">
        <v>0.415629</v>
      </c>
      <c r="Y80" s="49">
        <v>0</v>
      </c>
      <c r="Z80" s="49">
        <v>0</v>
      </c>
      <c r="AA80" s="72">
        <v>80</v>
      </c>
      <c r="AB80" s="72"/>
      <c r="AC80" s="73"/>
      <c r="AD80" s="88" t="s">
        <v>582</v>
      </c>
      <c r="AE80" s="88" t="s">
        <v>858</v>
      </c>
      <c r="AF80" s="88" t="s">
        <v>1131</v>
      </c>
      <c r="AG80" s="88" t="s">
        <v>1345</v>
      </c>
      <c r="AH80" s="88" t="s">
        <v>1501</v>
      </c>
      <c r="AI80" s="88">
        <v>127294</v>
      </c>
      <c r="AJ80" s="88">
        <v>449</v>
      </c>
      <c r="AK80" s="88">
        <v>911</v>
      </c>
      <c r="AL80" s="88">
        <v>79</v>
      </c>
      <c r="AM80" s="88" t="s">
        <v>1705</v>
      </c>
      <c r="AN80" s="100" t="str">
        <f>HYPERLINK("https://www.youtube.com/watch?v=pjVnFWHomtg")</f>
        <v>https://www.youtube.com/watch?v=pjVnFWHomtg</v>
      </c>
      <c r="AO80" s="88" t="str">
        <f>REPLACE(INDEX(GroupVertices[Group],MATCH(Vertices[[#This Row],[Vertex]],GroupVertices[Vertex],0)),1,1,"")</f>
        <v>4</v>
      </c>
      <c r="AP80" s="48">
        <v>0</v>
      </c>
      <c r="AQ80" s="49">
        <v>0</v>
      </c>
      <c r="AR80" s="48">
        <v>2</v>
      </c>
      <c r="AS80" s="49">
        <v>3.5714285714285716</v>
      </c>
      <c r="AT80" s="48">
        <v>0</v>
      </c>
      <c r="AU80" s="49">
        <v>0</v>
      </c>
      <c r="AV80" s="48">
        <v>54</v>
      </c>
      <c r="AW80" s="49">
        <v>96.42857142857143</v>
      </c>
      <c r="AX80" s="48">
        <v>56</v>
      </c>
      <c r="AY80" s="48"/>
      <c r="AZ80" s="48"/>
      <c r="BA80" s="48"/>
      <c r="BB80" s="48"/>
      <c r="BC80" s="2"/>
      <c r="BD80" s="3"/>
      <c r="BE80" s="3"/>
      <c r="BF80" s="3"/>
      <c r="BG80" s="3"/>
    </row>
    <row r="81" spans="1:59" ht="15">
      <c r="A81" s="65" t="s">
        <v>305</v>
      </c>
      <c r="B81" s="66"/>
      <c r="C81" s="66"/>
      <c r="D81" s="67">
        <v>87.86164058464938</v>
      </c>
      <c r="E81" s="69"/>
      <c r="F81" s="98" t="str">
        <f>HYPERLINK("https://i.ytimg.com/vi/zezoO6xp2uk/default.jpg")</f>
        <v>https://i.ytimg.com/vi/zezoO6xp2uk/default.jpg</v>
      </c>
      <c r="G81" s="66"/>
      <c r="H81" s="70" t="s">
        <v>583</v>
      </c>
      <c r="I81" s="71"/>
      <c r="J81" s="71" t="s">
        <v>159</v>
      </c>
      <c r="K81" s="70" t="s">
        <v>583</v>
      </c>
      <c r="L81" s="74">
        <v>909.9090909090909</v>
      </c>
      <c r="M81" s="75">
        <v>8496.7060546875</v>
      </c>
      <c r="N81" s="75">
        <v>9366.673828125</v>
      </c>
      <c r="O81" s="76"/>
      <c r="P81" s="77"/>
      <c r="Q81" s="77"/>
      <c r="R81" s="91"/>
      <c r="S81" s="48">
        <v>1</v>
      </c>
      <c r="T81" s="48">
        <v>0</v>
      </c>
      <c r="U81" s="49">
        <v>0</v>
      </c>
      <c r="V81" s="49">
        <v>0.000809</v>
      </c>
      <c r="W81" s="49">
        <v>0.001491</v>
      </c>
      <c r="X81" s="49">
        <v>0.415629</v>
      </c>
      <c r="Y81" s="49">
        <v>0</v>
      </c>
      <c r="Z81" s="49">
        <v>0</v>
      </c>
      <c r="AA81" s="72">
        <v>81</v>
      </c>
      <c r="AB81" s="72"/>
      <c r="AC81" s="73"/>
      <c r="AD81" s="88" t="s">
        <v>583</v>
      </c>
      <c r="AE81" s="88" t="s">
        <v>859</v>
      </c>
      <c r="AF81" s="88" t="s">
        <v>1132</v>
      </c>
      <c r="AG81" s="88" t="s">
        <v>1334</v>
      </c>
      <c r="AH81" s="88" t="s">
        <v>1502</v>
      </c>
      <c r="AI81" s="88">
        <v>72617</v>
      </c>
      <c r="AJ81" s="88">
        <v>930</v>
      </c>
      <c r="AK81" s="88">
        <v>746</v>
      </c>
      <c r="AL81" s="88">
        <v>44</v>
      </c>
      <c r="AM81" s="88" t="s">
        <v>1705</v>
      </c>
      <c r="AN81" s="100" t="str">
        <f>HYPERLINK("https://www.youtube.com/watch?v=zezoO6xp2uk")</f>
        <v>https://www.youtube.com/watch?v=zezoO6xp2uk</v>
      </c>
      <c r="AO81" s="88" t="str">
        <f>REPLACE(INDEX(GroupVertices[Group],MATCH(Vertices[[#This Row],[Vertex]],GroupVertices[Vertex],0)),1,1,"")</f>
        <v>4</v>
      </c>
      <c r="AP81" s="48">
        <v>0</v>
      </c>
      <c r="AQ81" s="49">
        <v>0</v>
      </c>
      <c r="AR81" s="48">
        <v>0</v>
      </c>
      <c r="AS81" s="49">
        <v>0</v>
      </c>
      <c r="AT81" s="48">
        <v>0</v>
      </c>
      <c r="AU81" s="49">
        <v>0</v>
      </c>
      <c r="AV81" s="48">
        <v>13</v>
      </c>
      <c r="AW81" s="49">
        <v>100</v>
      </c>
      <c r="AX81" s="48">
        <v>13</v>
      </c>
      <c r="AY81" s="48"/>
      <c r="AZ81" s="48"/>
      <c r="BA81" s="48"/>
      <c r="BB81" s="48"/>
      <c r="BC81" s="2"/>
      <c r="BD81" s="3"/>
      <c r="BE81" s="3"/>
      <c r="BF81" s="3"/>
      <c r="BG81" s="3"/>
    </row>
    <row r="82" spans="1:59" ht="15">
      <c r="A82" s="65" t="s">
        <v>306</v>
      </c>
      <c r="B82" s="66"/>
      <c r="C82" s="66"/>
      <c r="D82" s="67">
        <v>112.32178806648747</v>
      </c>
      <c r="E82" s="69"/>
      <c r="F82" s="98" t="str">
        <f>HYPERLINK("https://i.ytimg.com/vi/WvCld2vKug8/default.jpg")</f>
        <v>https://i.ytimg.com/vi/WvCld2vKug8/default.jpg</v>
      </c>
      <c r="G82" s="66"/>
      <c r="H82" s="70" t="s">
        <v>584</v>
      </c>
      <c r="I82" s="71"/>
      <c r="J82" s="71" t="s">
        <v>159</v>
      </c>
      <c r="K82" s="70" t="s">
        <v>584</v>
      </c>
      <c r="L82" s="74">
        <v>909.9090909090909</v>
      </c>
      <c r="M82" s="75">
        <v>7133.04443359375</v>
      </c>
      <c r="N82" s="75">
        <v>8476.2705078125</v>
      </c>
      <c r="O82" s="76"/>
      <c r="P82" s="77"/>
      <c r="Q82" s="77"/>
      <c r="R82" s="91"/>
      <c r="S82" s="48">
        <v>1</v>
      </c>
      <c r="T82" s="48">
        <v>0</v>
      </c>
      <c r="U82" s="49">
        <v>0</v>
      </c>
      <c r="V82" s="49">
        <v>0.000809</v>
      </c>
      <c r="W82" s="49">
        <v>0.001491</v>
      </c>
      <c r="X82" s="49">
        <v>0.415629</v>
      </c>
      <c r="Y82" s="49">
        <v>0</v>
      </c>
      <c r="Z82" s="49">
        <v>0</v>
      </c>
      <c r="AA82" s="72">
        <v>82</v>
      </c>
      <c r="AB82" s="72"/>
      <c r="AC82" s="73"/>
      <c r="AD82" s="88" t="s">
        <v>584</v>
      </c>
      <c r="AE82" s="88" t="s">
        <v>860</v>
      </c>
      <c r="AF82" s="88" t="s">
        <v>1133</v>
      </c>
      <c r="AG82" s="88" t="s">
        <v>1349</v>
      </c>
      <c r="AH82" s="88" t="s">
        <v>1503</v>
      </c>
      <c r="AI82" s="88">
        <v>298291</v>
      </c>
      <c r="AJ82" s="88">
        <v>1549</v>
      </c>
      <c r="AK82" s="88">
        <v>4675</v>
      </c>
      <c r="AL82" s="88">
        <v>208</v>
      </c>
      <c r="AM82" s="88" t="s">
        <v>1705</v>
      </c>
      <c r="AN82" s="100" t="str">
        <f>HYPERLINK("https://www.youtube.com/watch?v=WvCld2vKug8")</f>
        <v>https://www.youtube.com/watch?v=WvCld2vKug8</v>
      </c>
      <c r="AO82" s="88" t="str">
        <f>REPLACE(INDEX(GroupVertices[Group],MATCH(Vertices[[#This Row],[Vertex]],GroupVertices[Vertex],0)),1,1,"")</f>
        <v>4</v>
      </c>
      <c r="AP82" s="48">
        <v>0</v>
      </c>
      <c r="AQ82" s="49">
        <v>0</v>
      </c>
      <c r="AR82" s="48">
        <v>2</v>
      </c>
      <c r="AS82" s="49">
        <v>5.405405405405405</v>
      </c>
      <c r="AT82" s="48">
        <v>0</v>
      </c>
      <c r="AU82" s="49">
        <v>0</v>
      </c>
      <c r="AV82" s="48">
        <v>35</v>
      </c>
      <c r="AW82" s="49">
        <v>94.5945945945946</v>
      </c>
      <c r="AX82" s="48">
        <v>37</v>
      </c>
      <c r="AY82" s="48"/>
      <c r="AZ82" s="48"/>
      <c r="BA82" s="48"/>
      <c r="BB82" s="48"/>
      <c r="BC82" s="2"/>
      <c r="BD82" s="3"/>
      <c r="BE82" s="3"/>
      <c r="BF82" s="3"/>
      <c r="BG82" s="3"/>
    </row>
    <row r="83" spans="1:59" ht="15">
      <c r="A83" s="65" t="s">
        <v>307</v>
      </c>
      <c r="B83" s="66"/>
      <c r="C83" s="66"/>
      <c r="D83" s="67">
        <v>140.01349654857813</v>
      </c>
      <c r="E83" s="69"/>
      <c r="F83" s="98" t="str">
        <f>HYPERLINK("https://i.ytimg.com/vi/3NF3y1ouJ64/default.jpg")</f>
        <v>https://i.ytimg.com/vi/3NF3y1ouJ64/default.jpg</v>
      </c>
      <c r="G83" s="66"/>
      <c r="H83" s="70" t="s">
        <v>585</v>
      </c>
      <c r="I83" s="71"/>
      <c r="J83" s="71" t="s">
        <v>159</v>
      </c>
      <c r="K83" s="70" t="s">
        <v>585</v>
      </c>
      <c r="L83" s="74">
        <v>909.9090909090909</v>
      </c>
      <c r="M83" s="75">
        <v>7408.193359375</v>
      </c>
      <c r="N83" s="75">
        <v>9375.01953125</v>
      </c>
      <c r="O83" s="76"/>
      <c r="P83" s="77"/>
      <c r="Q83" s="77"/>
      <c r="R83" s="91"/>
      <c r="S83" s="48">
        <v>1</v>
      </c>
      <c r="T83" s="48">
        <v>0</v>
      </c>
      <c r="U83" s="49">
        <v>0</v>
      </c>
      <c r="V83" s="49">
        <v>0.000809</v>
      </c>
      <c r="W83" s="49">
        <v>0.001491</v>
      </c>
      <c r="X83" s="49">
        <v>0.415629</v>
      </c>
      <c r="Y83" s="49">
        <v>0</v>
      </c>
      <c r="Z83" s="49">
        <v>0</v>
      </c>
      <c r="AA83" s="72">
        <v>83</v>
      </c>
      <c r="AB83" s="72"/>
      <c r="AC83" s="73"/>
      <c r="AD83" s="88" t="s">
        <v>585</v>
      </c>
      <c r="AE83" s="88" t="s">
        <v>861</v>
      </c>
      <c r="AF83" s="88" t="s">
        <v>1134</v>
      </c>
      <c r="AG83" s="88" t="s">
        <v>1346</v>
      </c>
      <c r="AH83" s="88" t="s">
        <v>1504</v>
      </c>
      <c r="AI83" s="88">
        <v>553780</v>
      </c>
      <c r="AJ83" s="88">
        <v>0</v>
      </c>
      <c r="AK83" s="88">
        <v>6251</v>
      </c>
      <c r="AL83" s="88">
        <v>728</v>
      </c>
      <c r="AM83" s="88" t="s">
        <v>1705</v>
      </c>
      <c r="AN83" s="100" t="str">
        <f>HYPERLINK("https://www.youtube.com/watch?v=3NF3y1ouJ64")</f>
        <v>https://www.youtube.com/watch?v=3NF3y1ouJ64</v>
      </c>
      <c r="AO83" s="88" t="str">
        <f>REPLACE(INDEX(GroupVertices[Group],MATCH(Vertices[[#This Row],[Vertex]],GroupVertices[Vertex],0)),1,1,"")</f>
        <v>4</v>
      </c>
      <c r="AP83" s="48">
        <v>0</v>
      </c>
      <c r="AQ83" s="49">
        <v>0</v>
      </c>
      <c r="AR83" s="48">
        <v>1</v>
      </c>
      <c r="AS83" s="49">
        <v>1.9607843137254901</v>
      </c>
      <c r="AT83" s="48">
        <v>0</v>
      </c>
      <c r="AU83" s="49">
        <v>0</v>
      </c>
      <c r="AV83" s="48">
        <v>50</v>
      </c>
      <c r="AW83" s="49">
        <v>98.03921568627452</v>
      </c>
      <c r="AX83" s="48">
        <v>51</v>
      </c>
      <c r="AY83" s="48"/>
      <c r="AZ83" s="48"/>
      <c r="BA83" s="48"/>
      <c r="BB83" s="48"/>
      <c r="BC83" s="2"/>
      <c r="BD83" s="3"/>
      <c r="BE83" s="3"/>
      <c r="BF83" s="3"/>
      <c r="BG83" s="3"/>
    </row>
    <row r="84" spans="1:59" ht="15">
      <c r="A84" s="65" t="s">
        <v>308</v>
      </c>
      <c r="B84" s="66"/>
      <c r="C84" s="66"/>
      <c r="D84" s="67">
        <v>81.76530048670514</v>
      </c>
      <c r="E84" s="69"/>
      <c r="F84" s="98" t="str">
        <f>HYPERLINK("https://i.ytimg.com/vi/2DUiBlj5rsQ/default.jpg")</f>
        <v>https://i.ytimg.com/vi/2DUiBlj5rsQ/default.jpg</v>
      </c>
      <c r="G84" s="66"/>
      <c r="H84" s="70" t="s">
        <v>586</v>
      </c>
      <c r="I84" s="71"/>
      <c r="J84" s="71" t="s">
        <v>75</v>
      </c>
      <c r="K84" s="70" t="s">
        <v>586</v>
      </c>
      <c r="L84" s="74">
        <v>1818.8181818181818</v>
      </c>
      <c r="M84" s="75">
        <v>8715.326171875</v>
      </c>
      <c r="N84" s="75">
        <v>8472.427734375</v>
      </c>
      <c r="O84" s="76"/>
      <c r="P84" s="77"/>
      <c r="Q84" s="77"/>
      <c r="R84" s="91"/>
      <c r="S84" s="48">
        <v>2</v>
      </c>
      <c r="T84" s="48">
        <v>0</v>
      </c>
      <c r="U84" s="49">
        <v>0</v>
      </c>
      <c r="V84" s="49">
        <v>0.000875</v>
      </c>
      <c r="W84" s="49">
        <v>0.003972</v>
      </c>
      <c r="X84" s="49">
        <v>0.65248</v>
      </c>
      <c r="Y84" s="49">
        <v>0.5</v>
      </c>
      <c r="Z84" s="49">
        <v>0</v>
      </c>
      <c r="AA84" s="72">
        <v>84</v>
      </c>
      <c r="AB84" s="72"/>
      <c r="AC84" s="73"/>
      <c r="AD84" s="88" t="s">
        <v>586</v>
      </c>
      <c r="AE84" s="88" t="s">
        <v>862</v>
      </c>
      <c r="AF84" s="88" t="s">
        <v>1135</v>
      </c>
      <c r="AG84" s="88" t="s">
        <v>1350</v>
      </c>
      <c r="AH84" s="88" t="s">
        <v>1505</v>
      </c>
      <c r="AI84" s="88">
        <v>16371</v>
      </c>
      <c r="AJ84" s="88">
        <v>36</v>
      </c>
      <c r="AK84" s="88">
        <v>212</v>
      </c>
      <c r="AL84" s="88">
        <v>10</v>
      </c>
      <c r="AM84" s="88" t="s">
        <v>1705</v>
      </c>
      <c r="AN84" s="100" t="str">
        <f>HYPERLINK("https://www.youtube.com/watch?v=2DUiBlj5rsQ")</f>
        <v>https://www.youtube.com/watch?v=2DUiBlj5rsQ</v>
      </c>
      <c r="AO84" s="88" t="str">
        <f>REPLACE(INDEX(GroupVertices[Group],MATCH(Vertices[[#This Row],[Vertex]],GroupVertices[Vertex],0)),1,1,"")</f>
        <v>4</v>
      </c>
      <c r="AP84" s="48">
        <v>0</v>
      </c>
      <c r="AQ84" s="49">
        <v>0</v>
      </c>
      <c r="AR84" s="48">
        <v>0</v>
      </c>
      <c r="AS84" s="49">
        <v>0</v>
      </c>
      <c r="AT84" s="48">
        <v>0</v>
      </c>
      <c r="AU84" s="49">
        <v>0</v>
      </c>
      <c r="AV84" s="48">
        <v>18</v>
      </c>
      <c r="AW84" s="49">
        <v>100</v>
      </c>
      <c r="AX84" s="48">
        <v>18</v>
      </c>
      <c r="AY84" s="48"/>
      <c r="AZ84" s="48"/>
      <c r="BA84" s="48"/>
      <c r="BB84" s="48"/>
      <c r="BC84" s="2"/>
      <c r="BD84" s="3"/>
      <c r="BE84" s="3"/>
      <c r="BF84" s="3"/>
      <c r="BG84" s="3"/>
    </row>
    <row r="85" spans="1:59" ht="15">
      <c r="A85" s="65" t="s">
        <v>309</v>
      </c>
      <c r="B85" s="66"/>
      <c r="C85" s="66"/>
      <c r="D85" s="67">
        <v>107.36546335008464</v>
      </c>
      <c r="E85" s="69"/>
      <c r="F85" s="98" t="str">
        <f>HYPERLINK("https://i.ytimg.com/vi/DdIIwNyB1AA/default.jpg")</f>
        <v>https://i.ytimg.com/vi/DdIIwNyB1AA/default.jpg</v>
      </c>
      <c r="G85" s="66"/>
      <c r="H85" s="70" t="s">
        <v>587</v>
      </c>
      <c r="I85" s="71"/>
      <c r="J85" s="71" t="s">
        <v>75</v>
      </c>
      <c r="K85" s="70" t="s">
        <v>587</v>
      </c>
      <c r="L85" s="74">
        <v>5454.454545454545</v>
      </c>
      <c r="M85" s="75">
        <v>1272.2188720703125</v>
      </c>
      <c r="N85" s="75">
        <v>7159.63818359375</v>
      </c>
      <c r="O85" s="76"/>
      <c r="P85" s="77"/>
      <c r="Q85" s="77"/>
      <c r="R85" s="91"/>
      <c r="S85" s="48">
        <v>6</v>
      </c>
      <c r="T85" s="48">
        <v>0</v>
      </c>
      <c r="U85" s="49">
        <v>1390.286309</v>
      </c>
      <c r="V85" s="49">
        <v>0.001064</v>
      </c>
      <c r="W85" s="49">
        <v>0.015695</v>
      </c>
      <c r="X85" s="49">
        <v>1.509197</v>
      </c>
      <c r="Y85" s="49">
        <v>0.06666666666666667</v>
      </c>
      <c r="Z85" s="49">
        <v>0</v>
      </c>
      <c r="AA85" s="72">
        <v>85</v>
      </c>
      <c r="AB85" s="72"/>
      <c r="AC85" s="73"/>
      <c r="AD85" s="88" t="s">
        <v>587</v>
      </c>
      <c r="AE85" s="88" t="s">
        <v>863</v>
      </c>
      <c r="AF85" s="88" t="s">
        <v>1136</v>
      </c>
      <c r="AG85" s="88" t="s">
        <v>1351</v>
      </c>
      <c r="AH85" s="88" t="s">
        <v>1506</v>
      </c>
      <c r="AI85" s="88">
        <v>252563</v>
      </c>
      <c r="AJ85" s="88">
        <v>4026</v>
      </c>
      <c r="AK85" s="88">
        <v>7810</v>
      </c>
      <c r="AL85" s="88">
        <v>491</v>
      </c>
      <c r="AM85" s="88" t="s">
        <v>1705</v>
      </c>
      <c r="AN85" s="100" t="str">
        <f>HYPERLINK("https://www.youtube.com/watch?v=DdIIwNyB1AA")</f>
        <v>https://www.youtube.com/watch?v=DdIIwNyB1AA</v>
      </c>
      <c r="AO85" s="88" t="str">
        <f>REPLACE(INDEX(GroupVertices[Group],MATCH(Vertices[[#This Row],[Vertex]],GroupVertices[Vertex],0)),1,1,"")</f>
        <v>1</v>
      </c>
      <c r="AP85" s="48">
        <v>0</v>
      </c>
      <c r="AQ85" s="49">
        <v>0</v>
      </c>
      <c r="AR85" s="48">
        <v>0</v>
      </c>
      <c r="AS85" s="49">
        <v>0</v>
      </c>
      <c r="AT85" s="48">
        <v>0</v>
      </c>
      <c r="AU85" s="49">
        <v>0</v>
      </c>
      <c r="AV85" s="48">
        <v>17</v>
      </c>
      <c r="AW85" s="49">
        <v>100</v>
      </c>
      <c r="AX85" s="48">
        <v>17</v>
      </c>
      <c r="AY85" s="48"/>
      <c r="AZ85" s="48"/>
      <c r="BA85" s="48"/>
      <c r="BB85" s="48"/>
      <c r="BC85" s="2"/>
      <c r="BD85" s="3"/>
      <c r="BE85" s="3"/>
      <c r="BF85" s="3"/>
      <c r="BG85" s="3"/>
    </row>
    <row r="86" spans="1:59" ht="15">
      <c r="A86" s="65" t="s">
        <v>310</v>
      </c>
      <c r="B86" s="66"/>
      <c r="C86" s="66"/>
      <c r="D86" s="67">
        <v>85.37805887209569</v>
      </c>
      <c r="E86" s="69"/>
      <c r="F86" s="98" t="str">
        <f>HYPERLINK("https://i.ytimg.com/vi/WaoSPQ4MuM8/default.jpg")</f>
        <v>https://i.ytimg.com/vi/WaoSPQ4MuM8/default.jpg</v>
      </c>
      <c r="G86" s="66"/>
      <c r="H86" s="70" t="s">
        <v>588</v>
      </c>
      <c r="I86" s="71"/>
      <c r="J86" s="71" t="s">
        <v>75</v>
      </c>
      <c r="K86" s="70" t="s">
        <v>588</v>
      </c>
      <c r="L86" s="74">
        <v>4545.545454545455</v>
      </c>
      <c r="M86" s="75">
        <v>1713.275390625</v>
      </c>
      <c r="N86" s="75">
        <v>1726.36376953125</v>
      </c>
      <c r="O86" s="76"/>
      <c r="P86" s="77"/>
      <c r="Q86" s="77"/>
      <c r="R86" s="91"/>
      <c r="S86" s="48">
        <v>5</v>
      </c>
      <c r="T86" s="48">
        <v>0</v>
      </c>
      <c r="U86" s="49">
        <v>860.985133</v>
      </c>
      <c r="V86" s="49">
        <v>0.001083</v>
      </c>
      <c r="W86" s="49">
        <v>0.015287</v>
      </c>
      <c r="X86" s="49">
        <v>1.236618</v>
      </c>
      <c r="Y86" s="49">
        <v>0.2</v>
      </c>
      <c r="Z86" s="49">
        <v>0</v>
      </c>
      <c r="AA86" s="72">
        <v>86</v>
      </c>
      <c r="AB86" s="72"/>
      <c r="AC86" s="73"/>
      <c r="AD86" s="88" t="s">
        <v>588</v>
      </c>
      <c r="AE86" s="88" t="s">
        <v>864</v>
      </c>
      <c r="AF86" s="88" t="s">
        <v>1137</v>
      </c>
      <c r="AG86" s="88" t="s">
        <v>1352</v>
      </c>
      <c r="AH86" s="88" t="s">
        <v>1507</v>
      </c>
      <c r="AI86" s="88">
        <v>49703</v>
      </c>
      <c r="AJ86" s="88">
        <v>21</v>
      </c>
      <c r="AK86" s="88">
        <v>340</v>
      </c>
      <c r="AL86" s="88">
        <v>37</v>
      </c>
      <c r="AM86" s="88" t="s">
        <v>1705</v>
      </c>
      <c r="AN86" s="100" t="str">
        <f>HYPERLINK("https://www.youtube.com/watch?v=WaoSPQ4MuM8")</f>
        <v>https://www.youtube.com/watch?v=WaoSPQ4MuM8</v>
      </c>
      <c r="AO86" s="88" t="str">
        <f>REPLACE(INDEX(GroupVertices[Group],MATCH(Vertices[[#This Row],[Vertex]],GroupVertices[Vertex],0)),1,1,"")</f>
        <v>2</v>
      </c>
      <c r="AP86" s="48">
        <v>0</v>
      </c>
      <c r="AQ86" s="49">
        <v>0</v>
      </c>
      <c r="AR86" s="48">
        <v>1</v>
      </c>
      <c r="AS86" s="49">
        <v>1.639344262295082</v>
      </c>
      <c r="AT86" s="48">
        <v>0</v>
      </c>
      <c r="AU86" s="49">
        <v>0</v>
      </c>
      <c r="AV86" s="48">
        <v>60</v>
      </c>
      <c r="AW86" s="49">
        <v>98.36065573770492</v>
      </c>
      <c r="AX86" s="48">
        <v>61</v>
      </c>
      <c r="AY86" s="48"/>
      <c r="AZ86" s="48"/>
      <c r="BA86" s="48"/>
      <c r="BB86" s="48"/>
      <c r="BC86" s="2"/>
      <c r="BD86" s="3"/>
      <c r="BE86" s="3"/>
      <c r="BF86" s="3"/>
      <c r="BG86" s="3"/>
    </row>
    <row r="87" spans="1:59" ht="15">
      <c r="A87" s="65" t="s">
        <v>311</v>
      </c>
      <c r="B87" s="66"/>
      <c r="C87" s="66"/>
      <c r="D87" s="67">
        <v>87.91724316030356</v>
      </c>
      <c r="E87" s="69"/>
      <c r="F87" s="98" t="str">
        <f>HYPERLINK("https://i.ytimg.com/vi/cRJnEm5s4k8/default.jpg")</f>
        <v>https://i.ytimg.com/vi/cRJnEm5s4k8/default.jpg</v>
      </c>
      <c r="G87" s="66"/>
      <c r="H87" s="70" t="s">
        <v>589</v>
      </c>
      <c r="I87" s="71"/>
      <c r="J87" s="71" t="s">
        <v>75</v>
      </c>
      <c r="K87" s="70" t="s">
        <v>589</v>
      </c>
      <c r="L87" s="74">
        <v>3636.6363636363635</v>
      </c>
      <c r="M87" s="75">
        <v>1262.7183837890625</v>
      </c>
      <c r="N87" s="75">
        <v>3188.24072265625</v>
      </c>
      <c r="O87" s="76"/>
      <c r="P87" s="77"/>
      <c r="Q87" s="77"/>
      <c r="R87" s="91"/>
      <c r="S87" s="48">
        <v>4</v>
      </c>
      <c r="T87" s="48">
        <v>0</v>
      </c>
      <c r="U87" s="49">
        <v>116.850401</v>
      </c>
      <c r="V87" s="49">
        <v>0.001075</v>
      </c>
      <c r="W87" s="49">
        <v>0.014091</v>
      </c>
      <c r="X87" s="49">
        <v>1.002389</v>
      </c>
      <c r="Y87" s="49">
        <v>0.3333333333333333</v>
      </c>
      <c r="Z87" s="49">
        <v>0</v>
      </c>
      <c r="AA87" s="72">
        <v>87</v>
      </c>
      <c r="AB87" s="72"/>
      <c r="AC87" s="73"/>
      <c r="AD87" s="88" t="s">
        <v>589</v>
      </c>
      <c r="AE87" s="88" t="s">
        <v>865</v>
      </c>
      <c r="AF87" s="88" t="s">
        <v>1138</v>
      </c>
      <c r="AG87" s="88" t="s">
        <v>1329</v>
      </c>
      <c r="AH87" s="88" t="s">
        <v>1508</v>
      </c>
      <c r="AI87" s="88">
        <v>73130</v>
      </c>
      <c r="AJ87" s="88">
        <v>154</v>
      </c>
      <c r="AK87" s="88">
        <v>604</v>
      </c>
      <c r="AL87" s="88">
        <v>55</v>
      </c>
      <c r="AM87" s="88" t="s">
        <v>1705</v>
      </c>
      <c r="AN87" s="100" t="str">
        <f>HYPERLINK("https://www.youtube.com/watch?v=cRJnEm5s4k8")</f>
        <v>https://www.youtube.com/watch?v=cRJnEm5s4k8</v>
      </c>
      <c r="AO87" s="88" t="str">
        <f>REPLACE(INDEX(GroupVertices[Group],MATCH(Vertices[[#This Row],[Vertex]],GroupVertices[Vertex],0)),1,1,"")</f>
        <v>2</v>
      </c>
      <c r="AP87" s="48">
        <v>2</v>
      </c>
      <c r="AQ87" s="49">
        <v>4.166666666666667</v>
      </c>
      <c r="AR87" s="48">
        <v>6</v>
      </c>
      <c r="AS87" s="49">
        <v>12.5</v>
      </c>
      <c r="AT87" s="48">
        <v>0</v>
      </c>
      <c r="AU87" s="49">
        <v>0</v>
      </c>
      <c r="AV87" s="48">
        <v>40</v>
      </c>
      <c r="AW87" s="49">
        <v>83.33333333333333</v>
      </c>
      <c r="AX87" s="48">
        <v>48</v>
      </c>
      <c r="AY87" s="48"/>
      <c r="AZ87" s="48"/>
      <c r="BA87" s="48"/>
      <c r="BB87" s="48"/>
      <c r="BC87" s="2"/>
      <c r="BD87" s="3"/>
      <c r="BE87" s="3"/>
      <c r="BF87" s="3"/>
      <c r="BG87" s="3"/>
    </row>
    <row r="88" spans="1:59" ht="15">
      <c r="A88" s="65" t="s">
        <v>312</v>
      </c>
      <c r="B88" s="66"/>
      <c r="C88" s="66"/>
      <c r="D88" s="67">
        <v>97.3845300524405</v>
      </c>
      <c r="E88" s="69"/>
      <c r="F88" s="98" t="str">
        <f>HYPERLINK("https://i.ytimg.com/vi/-YmOnJim5wU/default.jpg")</f>
        <v>https://i.ytimg.com/vi/-YmOnJim5wU/default.jpg</v>
      </c>
      <c r="G88" s="66"/>
      <c r="H88" s="70" t="s">
        <v>590</v>
      </c>
      <c r="I88" s="71"/>
      <c r="J88" s="71" t="s">
        <v>159</v>
      </c>
      <c r="K88" s="70" t="s">
        <v>590</v>
      </c>
      <c r="L88" s="74">
        <v>909.9090909090909</v>
      </c>
      <c r="M88" s="75">
        <v>7603.94384765625</v>
      </c>
      <c r="N88" s="75">
        <v>8099.455078125</v>
      </c>
      <c r="O88" s="76"/>
      <c r="P88" s="77"/>
      <c r="Q88" s="77"/>
      <c r="R88" s="91"/>
      <c r="S88" s="48">
        <v>1</v>
      </c>
      <c r="T88" s="48">
        <v>0</v>
      </c>
      <c r="U88" s="49">
        <v>0</v>
      </c>
      <c r="V88" s="49">
        <v>0.000809</v>
      </c>
      <c r="W88" s="49">
        <v>0.001491</v>
      </c>
      <c r="X88" s="49">
        <v>0.415629</v>
      </c>
      <c r="Y88" s="49">
        <v>0</v>
      </c>
      <c r="Z88" s="49">
        <v>0</v>
      </c>
      <c r="AA88" s="72">
        <v>88</v>
      </c>
      <c r="AB88" s="72"/>
      <c r="AC88" s="73"/>
      <c r="AD88" s="88" t="s">
        <v>590</v>
      </c>
      <c r="AE88" s="88" t="s">
        <v>866</v>
      </c>
      <c r="AF88" s="88" t="s">
        <v>1139</v>
      </c>
      <c r="AG88" s="88" t="s">
        <v>1345</v>
      </c>
      <c r="AH88" s="88" t="s">
        <v>1509</v>
      </c>
      <c r="AI88" s="88">
        <v>160477</v>
      </c>
      <c r="AJ88" s="88">
        <v>258</v>
      </c>
      <c r="AK88" s="88">
        <v>1525</v>
      </c>
      <c r="AL88" s="88">
        <v>66</v>
      </c>
      <c r="AM88" s="88" t="s">
        <v>1705</v>
      </c>
      <c r="AN88" s="100" t="str">
        <f>HYPERLINK("https://www.youtube.com/watch?v=-YmOnJim5wU")</f>
        <v>https://www.youtube.com/watch?v=-YmOnJim5wU</v>
      </c>
      <c r="AO88" s="88" t="str">
        <f>REPLACE(INDEX(GroupVertices[Group],MATCH(Vertices[[#This Row],[Vertex]],GroupVertices[Vertex],0)),1,1,"")</f>
        <v>4</v>
      </c>
      <c r="AP88" s="48">
        <v>0</v>
      </c>
      <c r="AQ88" s="49">
        <v>0</v>
      </c>
      <c r="AR88" s="48">
        <v>0</v>
      </c>
      <c r="AS88" s="49">
        <v>0</v>
      </c>
      <c r="AT88" s="48">
        <v>0</v>
      </c>
      <c r="AU88" s="49">
        <v>0</v>
      </c>
      <c r="AV88" s="48">
        <v>35</v>
      </c>
      <c r="AW88" s="49">
        <v>100</v>
      </c>
      <c r="AX88" s="48">
        <v>35</v>
      </c>
      <c r="AY88" s="48"/>
      <c r="AZ88" s="48"/>
      <c r="BA88" s="48"/>
      <c r="BB88" s="48"/>
      <c r="BC88" s="2"/>
      <c r="BD88" s="3"/>
      <c r="BE88" s="3"/>
      <c r="BF88" s="3"/>
      <c r="BG88" s="3"/>
    </row>
    <row r="89" spans="1:59" ht="15">
      <c r="A89" s="65" t="s">
        <v>313</v>
      </c>
      <c r="B89" s="66"/>
      <c r="C89" s="66"/>
      <c r="D89" s="67">
        <v>94.29571484582644</v>
      </c>
      <c r="E89" s="69"/>
      <c r="F89" s="98" t="str">
        <f>HYPERLINK("https://i.ytimg.com/vi/4-iCCaBSNyg/default.jpg")</f>
        <v>https://i.ytimg.com/vi/4-iCCaBSNyg/default.jpg</v>
      </c>
      <c r="G89" s="66"/>
      <c r="H89" s="70" t="s">
        <v>591</v>
      </c>
      <c r="I89" s="71"/>
      <c r="J89" s="71" t="s">
        <v>159</v>
      </c>
      <c r="K89" s="70" t="s">
        <v>591</v>
      </c>
      <c r="L89" s="74">
        <v>909.9090909090909</v>
      </c>
      <c r="M89" s="75">
        <v>7944.10546875</v>
      </c>
      <c r="N89" s="75">
        <v>9300.5927734375</v>
      </c>
      <c r="O89" s="76"/>
      <c r="P89" s="77"/>
      <c r="Q89" s="77"/>
      <c r="R89" s="91"/>
      <c r="S89" s="48">
        <v>1</v>
      </c>
      <c r="T89" s="48">
        <v>0</v>
      </c>
      <c r="U89" s="49">
        <v>0</v>
      </c>
      <c r="V89" s="49">
        <v>0.000809</v>
      </c>
      <c r="W89" s="49">
        <v>0.001491</v>
      </c>
      <c r="X89" s="49">
        <v>0.415629</v>
      </c>
      <c r="Y89" s="49">
        <v>0</v>
      </c>
      <c r="Z89" s="49">
        <v>0</v>
      </c>
      <c r="AA89" s="72">
        <v>89</v>
      </c>
      <c r="AB89" s="72"/>
      <c r="AC89" s="73"/>
      <c r="AD89" s="88" t="s">
        <v>591</v>
      </c>
      <c r="AE89" s="88" t="s">
        <v>867</v>
      </c>
      <c r="AF89" s="88" t="s">
        <v>1140</v>
      </c>
      <c r="AG89" s="88" t="s">
        <v>1345</v>
      </c>
      <c r="AH89" s="88" t="s">
        <v>1510</v>
      </c>
      <c r="AI89" s="88">
        <v>131979</v>
      </c>
      <c r="AJ89" s="88">
        <v>495</v>
      </c>
      <c r="AK89" s="88">
        <v>1251</v>
      </c>
      <c r="AL89" s="88">
        <v>90</v>
      </c>
      <c r="AM89" s="88" t="s">
        <v>1705</v>
      </c>
      <c r="AN89" s="100" t="str">
        <f>HYPERLINK("https://www.youtube.com/watch?v=4-iCCaBSNyg")</f>
        <v>https://www.youtube.com/watch?v=4-iCCaBSNyg</v>
      </c>
      <c r="AO89" s="88" t="str">
        <f>REPLACE(INDEX(GroupVertices[Group],MATCH(Vertices[[#This Row],[Vertex]],GroupVertices[Vertex],0)),1,1,"")</f>
        <v>4</v>
      </c>
      <c r="AP89" s="48">
        <v>3</v>
      </c>
      <c r="AQ89" s="49">
        <v>4.545454545454546</v>
      </c>
      <c r="AR89" s="48">
        <v>8</v>
      </c>
      <c r="AS89" s="49">
        <v>12.121212121212121</v>
      </c>
      <c r="AT89" s="48">
        <v>0</v>
      </c>
      <c r="AU89" s="49">
        <v>0</v>
      </c>
      <c r="AV89" s="48">
        <v>55</v>
      </c>
      <c r="AW89" s="49">
        <v>83.33333333333333</v>
      </c>
      <c r="AX89" s="48">
        <v>66</v>
      </c>
      <c r="AY89" s="48"/>
      <c r="AZ89" s="48"/>
      <c r="BA89" s="48"/>
      <c r="BB89" s="48"/>
      <c r="BC89" s="2"/>
      <c r="BD89" s="3"/>
      <c r="BE89" s="3"/>
      <c r="BF89" s="3"/>
      <c r="BG89" s="3"/>
    </row>
    <row r="90" spans="1:59" ht="15">
      <c r="A90" s="65" t="s">
        <v>314</v>
      </c>
      <c r="B90" s="66"/>
      <c r="C90" s="66"/>
      <c r="D90" s="67">
        <v>86.41705748851096</v>
      </c>
      <c r="E90" s="69"/>
      <c r="F90" s="98" t="str">
        <f>HYPERLINK("https://i.ytimg.com/vi/QwQ6cc7Qoxk/default.jpg")</f>
        <v>https://i.ytimg.com/vi/QwQ6cc7Qoxk/default.jpg</v>
      </c>
      <c r="G90" s="66"/>
      <c r="H90" s="70" t="s">
        <v>592</v>
      </c>
      <c r="I90" s="71"/>
      <c r="J90" s="71" t="s">
        <v>75</v>
      </c>
      <c r="K90" s="70" t="s">
        <v>592</v>
      </c>
      <c r="L90" s="74">
        <v>1818.8181818181818</v>
      </c>
      <c r="M90" s="75">
        <v>7197.96142578125</v>
      </c>
      <c r="N90" s="75">
        <v>8013.302734375</v>
      </c>
      <c r="O90" s="76"/>
      <c r="P90" s="77"/>
      <c r="Q90" s="77"/>
      <c r="R90" s="91"/>
      <c r="S90" s="48">
        <v>2</v>
      </c>
      <c r="T90" s="48">
        <v>0</v>
      </c>
      <c r="U90" s="49">
        <v>51.909796</v>
      </c>
      <c r="V90" s="49">
        <v>0.000921</v>
      </c>
      <c r="W90" s="49">
        <v>0.005403</v>
      </c>
      <c r="X90" s="49">
        <v>0.618855</v>
      </c>
      <c r="Y90" s="49">
        <v>0</v>
      </c>
      <c r="Z90" s="49">
        <v>0</v>
      </c>
      <c r="AA90" s="72">
        <v>90</v>
      </c>
      <c r="AB90" s="72"/>
      <c r="AC90" s="73"/>
      <c r="AD90" s="88" t="s">
        <v>592</v>
      </c>
      <c r="AE90" s="88" t="s">
        <v>868</v>
      </c>
      <c r="AF90" s="88" t="s">
        <v>1141</v>
      </c>
      <c r="AG90" s="88" t="s">
        <v>1353</v>
      </c>
      <c r="AH90" s="88" t="s">
        <v>1511</v>
      </c>
      <c r="AI90" s="88">
        <v>59289</v>
      </c>
      <c r="AJ90" s="88">
        <v>341</v>
      </c>
      <c r="AK90" s="88">
        <v>1747</v>
      </c>
      <c r="AL90" s="88">
        <v>123</v>
      </c>
      <c r="AM90" s="88" t="s">
        <v>1705</v>
      </c>
      <c r="AN90" s="100" t="str">
        <f>HYPERLINK("https://www.youtube.com/watch?v=QwQ6cc7Qoxk")</f>
        <v>https://www.youtube.com/watch?v=QwQ6cc7Qoxk</v>
      </c>
      <c r="AO90" s="88" t="str">
        <f>REPLACE(INDEX(GroupVertices[Group],MATCH(Vertices[[#This Row],[Vertex]],GroupVertices[Vertex],0)),1,1,"")</f>
        <v>4</v>
      </c>
      <c r="AP90" s="48">
        <v>1</v>
      </c>
      <c r="AQ90" s="49">
        <v>1.408450704225352</v>
      </c>
      <c r="AR90" s="48">
        <v>0</v>
      </c>
      <c r="AS90" s="49">
        <v>0</v>
      </c>
      <c r="AT90" s="48">
        <v>0</v>
      </c>
      <c r="AU90" s="49">
        <v>0</v>
      </c>
      <c r="AV90" s="48">
        <v>70</v>
      </c>
      <c r="AW90" s="49">
        <v>98.59154929577464</v>
      </c>
      <c r="AX90" s="48">
        <v>71</v>
      </c>
      <c r="AY90" s="48"/>
      <c r="AZ90" s="48"/>
      <c r="BA90" s="48"/>
      <c r="BB90" s="48"/>
      <c r="BC90" s="2"/>
      <c r="BD90" s="3"/>
      <c r="BE90" s="3"/>
      <c r="BF90" s="3"/>
      <c r="BG90" s="3"/>
    </row>
    <row r="91" spans="1:59" ht="15">
      <c r="A91" s="65" t="s">
        <v>315</v>
      </c>
      <c r="B91" s="66"/>
      <c r="C91" s="66"/>
      <c r="D91" s="67">
        <v>140.63206165434508</v>
      </c>
      <c r="E91" s="69"/>
      <c r="F91" s="98" t="str">
        <f>HYPERLINK("https://i.ytimg.com/vi/VFyKkopIbNY/default.jpg")</f>
        <v>https://i.ytimg.com/vi/VFyKkopIbNY/default.jpg</v>
      </c>
      <c r="G91" s="66"/>
      <c r="H91" s="70" t="s">
        <v>593</v>
      </c>
      <c r="I91" s="71"/>
      <c r="J91" s="71" t="s">
        <v>75</v>
      </c>
      <c r="K91" s="70" t="s">
        <v>593</v>
      </c>
      <c r="L91" s="74">
        <v>7272.272727272727</v>
      </c>
      <c r="M91" s="75">
        <v>2438.232666015625</v>
      </c>
      <c r="N91" s="75">
        <v>2506.062744140625</v>
      </c>
      <c r="O91" s="76"/>
      <c r="P91" s="77"/>
      <c r="Q91" s="77"/>
      <c r="R91" s="91"/>
      <c r="S91" s="48">
        <v>8</v>
      </c>
      <c r="T91" s="48">
        <v>0</v>
      </c>
      <c r="U91" s="49">
        <v>5849.419184</v>
      </c>
      <c r="V91" s="49">
        <v>0.001188</v>
      </c>
      <c r="W91" s="49">
        <v>0.018944</v>
      </c>
      <c r="X91" s="49">
        <v>2.05911</v>
      </c>
      <c r="Y91" s="49">
        <v>0.05357142857142857</v>
      </c>
      <c r="Z91" s="49">
        <v>0</v>
      </c>
      <c r="AA91" s="72">
        <v>91</v>
      </c>
      <c r="AB91" s="72"/>
      <c r="AC91" s="73"/>
      <c r="AD91" s="88" t="s">
        <v>593</v>
      </c>
      <c r="AE91" s="88" t="s">
        <v>869</v>
      </c>
      <c r="AF91" s="88" t="s">
        <v>1142</v>
      </c>
      <c r="AG91" s="88" t="s">
        <v>1346</v>
      </c>
      <c r="AH91" s="88" t="s">
        <v>1512</v>
      </c>
      <c r="AI91" s="88">
        <v>559487</v>
      </c>
      <c r="AJ91" s="88">
        <v>0</v>
      </c>
      <c r="AK91" s="88">
        <v>6071</v>
      </c>
      <c r="AL91" s="88">
        <v>906</v>
      </c>
      <c r="AM91" s="88" t="s">
        <v>1705</v>
      </c>
      <c r="AN91" s="100" t="str">
        <f>HYPERLINK("https://www.youtube.com/watch?v=VFyKkopIbNY")</f>
        <v>https://www.youtube.com/watch?v=VFyKkopIbNY</v>
      </c>
      <c r="AO91" s="88" t="str">
        <f>REPLACE(INDEX(GroupVertices[Group],MATCH(Vertices[[#This Row],[Vertex]],GroupVertices[Vertex],0)),1,1,"")</f>
        <v>2</v>
      </c>
      <c r="AP91" s="48">
        <v>3</v>
      </c>
      <c r="AQ91" s="49">
        <v>4.615384615384615</v>
      </c>
      <c r="AR91" s="48">
        <v>0</v>
      </c>
      <c r="AS91" s="49">
        <v>0</v>
      </c>
      <c r="AT91" s="48">
        <v>0</v>
      </c>
      <c r="AU91" s="49">
        <v>0</v>
      </c>
      <c r="AV91" s="48">
        <v>62</v>
      </c>
      <c r="AW91" s="49">
        <v>95.38461538461539</v>
      </c>
      <c r="AX91" s="48">
        <v>65</v>
      </c>
      <c r="AY91" s="48"/>
      <c r="AZ91" s="48"/>
      <c r="BA91" s="48"/>
      <c r="BB91" s="48"/>
      <c r="BC91" s="2"/>
      <c r="BD91" s="3"/>
      <c r="BE91" s="3"/>
      <c r="BF91" s="3"/>
      <c r="BG91" s="3"/>
    </row>
    <row r="92" spans="1:59" ht="15">
      <c r="A92" s="65" t="s">
        <v>220</v>
      </c>
      <c r="B92" s="66"/>
      <c r="C92" s="66"/>
      <c r="D92" s="67">
        <v>138.60999215842986</v>
      </c>
      <c r="E92" s="69"/>
      <c r="F92" s="98" t="str">
        <f>HYPERLINK("https://i.ytimg.com/vi/1udg15TW-KA/default.jpg")</f>
        <v>https://i.ytimg.com/vi/1udg15TW-KA/default.jpg</v>
      </c>
      <c r="G92" s="66"/>
      <c r="H92" s="70" t="s">
        <v>594</v>
      </c>
      <c r="I92" s="71"/>
      <c r="J92" s="71" t="s">
        <v>159</v>
      </c>
      <c r="K92" s="70" t="s">
        <v>594</v>
      </c>
      <c r="L92" s="74">
        <v>1</v>
      </c>
      <c r="M92" s="75">
        <v>4069.94677734375</v>
      </c>
      <c r="N92" s="75">
        <v>5508.7138671875</v>
      </c>
      <c r="O92" s="76"/>
      <c r="P92" s="77"/>
      <c r="Q92" s="77"/>
      <c r="R92" s="91"/>
      <c r="S92" s="48">
        <v>0</v>
      </c>
      <c r="T92" s="48">
        <v>20</v>
      </c>
      <c r="U92" s="49">
        <v>16596.036185</v>
      </c>
      <c r="V92" s="49">
        <v>0.001121</v>
      </c>
      <c r="W92" s="49">
        <v>0.015603</v>
      </c>
      <c r="X92" s="49">
        <v>5.981757</v>
      </c>
      <c r="Y92" s="49">
        <v>0.010526315789473684</v>
      </c>
      <c r="Z92" s="49">
        <v>0</v>
      </c>
      <c r="AA92" s="72">
        <v>92</v>
      </c>
      <c r="AB92" s="72"/>
      <c r="AC92" s="73"/>
      <c r="AD92" s="88" t="s">
        <v>594</v>
      </c>
      <c r="AE92" s="88" t="s">
        <v>870</v>
      </c>
      <c r="AF92" s="88" t="s">
        <v>1143</v>
      </c>
      <c r="AG92" s="88" t="s">
        <v>1354</v>
      </c>
      <c r="AH92" s="88" t="s">
        <v>1513</v>
      </c>
      <c r="AI92" s="88">
        <v>540831</v>
      </c>
      <c r="AJ92" s="88">
        <v>2851</v>
      </c>
      <c r="AK92" s="88">
        <v>2271</v>
      </c>
      <c r="AL92" s="88">
        <v>2180</v>
      </c>
      <c r="AM92" s="88" t="s">
        <v>1705</v>
      </c>
      <c r="AN92" s="100" t="str">
        <f>HYPERLINK("https://www.youtube.com/watch?v=1udg15TW-KA")</f>
        <v>https://www.youtube.com/watch?v=1udg15TW-KA</v>
      </c>
      <c r="AO92" s="88" t="str">
        <f>REPLACE(INDEX(GroupVertices[Group],MATCH(Vertices[[#This Row],[Vertex]],GroupVertices[Vertex],0)),1,1,"")</f>
        <v>5</v>
      </c>
      <c r="AP92" s="48">
        <v>1</v>
      </c>
      <c r="AQ92" s="49">
        <v>2.857142857142857</v>
      </c>
      <c r="AR92" s="48">
        <v>0</v>
      </c>
      <c r="AS92" s="49">
        <v>0</v>
      </c>
      <c r="AT92" s="48">
        <v>0</v>
      </c>
      <c r="AU92" s="49">
        <v>0</v>
      </c>
      <c r="AV92" s="48">
        <v>34</v>
      </c>
      <c r="AW92" s="49">
        <v>97.14285714285714</v>
      </c>
      <c r="AX92" s="48">
        <v>35</v>
      </c>
      <c r="AY92" s="121" t="s">
        <v>2747</v>
      </c>
      <c r="AZ92" s="121" t="s">
        <v>2747</v>
      </c>
      <c r="BA92" s="121" t="s">
        <v>2747</v>
      </c>
      <c r="BB92" s="121" t="s">
        <v>2747</v>
      </c>
      <c r="BC92" s="2"/>
      <c r="BD92" s="3"/>
      <c r="BE92" s="3"/>
      <c r="BF92" s="3"/>
      <c r="BG92" s="3"/>
    </row>
    <row r="93" spans="1:59" ht="15">
      <c r="A93" s="65" t="s">
        <v>316</v>
      </c>
      <c r="B93" s="66"/>
      <c r="C93" s="66"/>
      <c r="D93" s="67">
        <v>113.30691830064127</v>
      </c>
      <c r="E93" s="69"/>
      <c r="F93" s="98" t="str">
        <f>HYPERLINK("https://i.ytimg.com/vi/KHhZ9L3xLiY/default.jpg")</f>
        <v>https://i.ytimg.com/vi/KHhZ9L3xLiY/default.jpg</v>
      </c>
      <c r="G93" s="66"/>
      <c r="H93" s="70" t="s">
        <v>595</v>
      </c>
      <c r="I93" s="71"/>
      <c r="J93" s="71" t="s">
        <v>159</v>
      </c>
      <c r="K93" s="70" t="s">
        <v>595</v>
      </c>
      <c r="L93" s="74">
        <v>909.9090909090909</v>
      </c>
      <c r="M93" s="75">
        <v>4069.776611328125</v>
      </c>
      <c r="N93" s="75">
        <v>6574.48681640625</v>
      </c>
      <c r="O93" s="76"/>
      <c r="P93" s="77"/>
      <c r="Q93" s="77"/>
      <c r="R93" s="91"/>
      <c r="S93" s="48">
        <v>1</v>
      </c>
      <c r="T93" s="48">
        <v>0</v>
      </c>
      <c r="U93" s="49">
        <v>0</v>
      </c>
      <c r="V93" s="49">
        <v>0.000855</v>
      </c>
      <c r="W93" s="49">
        <v>0.001571</v>
      </c>
      <c r="X93" s="49">
        <v>0.404225</v>
      </c>
      <c r="Y93" s="49">
        <v>0</v>
      </c>
      <c r="Z93" s="49">
        <v>0</v>
      </c>
      <c r="AA93" s="72">
        <v>93</v>
      </c>
      <c r="AB93" s="72"/>
      <c r="AC93" s="73"/>
      <c r="AD93" s="88" t="s">
        <v>595</v>
      </c>
      <c r="AE93" s="88" t="s">
        <v>871</v>
      </c>
      <c r="AF93" s="88" t="s">
        <v>1144</v>
      </c>
      <c r="AG93" s="88" t="s">
        <v>1355</v>
      </c>
      <c r="AH93" s="88" t="s">
        <v>1514</v>
      </c>
      <c r="AI93" s="88">
        <v>307380</v>
      </c>
      <c r="AJ93" s="88">
        <v>2240</v>
      </c>
      <c r="AK93" s="88">
        <v>5170</v>
      </c>
      <c r="AL93" s="88">
        <v>172</v>
      </c>
      <c r="AM93" s="88" t="s">
        <v>1705</v>
      </c>
      <c r="AN93" s="100" t="str">
        <f>HYPERLINK("https://www.youtube.com/watch?v=KHhZ9L3xLiY")</f>
        <v>https://www.youtube.com/watch?v=KHhZ9L3xLiY</v>
      </c>
      <c r="AO93" s="88" t="str">
        <f>REPLACE(INDEX(GroupVertices[Group],MATCH(Vertices[[#This Row],[Vertex]],GroupVertices[Vertex],0)),1,1,"")</f>
        <v>5</v>
      </c>
      <c r="AP93" s="48">
        <v>1</v>
      </c>
      <c r="AQ93" s="49">
        <v>1.4285714285714286</v>
      </c>
      <c r="AR93" s="48">
        <v>1</v>
      </c>
      <c r="AS93" s="49">
        <v>1.4285714285714286</v>
      </c>
      <c r="AT93" s="48">
        <v>0</v>
      </c>
      <c r="AU93" s="49">
        <v>0</v>
      </c>
      <c r="AV93" s="48">
        <v>68</v>
      </c>
      <c r="AW93" s="49">
        <v>97.14285714285714</v>
      </c>
      <c r="AX93" s="48">
        <v>70</v>
      </c>
      <c r="AY93" s="48"/>
      <c r="AZ93" s="48"/>
      <c r="BA93" s="48"/>
      <c r="BB93" s="48"/>
      <c r="BC93" s="2"/>
      <c r="BD93" s="3"/>
      <c r="BE93" s="3"/>
      <c r="BF93" s="3"/>
      <c r="BG93" s="3"/>
    </row>
    <row r="94" spans="1:59" ht="15">
      <c r="A94" s="65" t="s">
        <v>317</v>
      </c>
      <c r="B94" s="66"/>
      <c r="C94" s="66"/>
      <c r="D94" s="67">
        <v>90.29341326959545</v>
      </c>
      <c r="E94" s="69"/>
      <c r="F94" s="98" t="str">
        <f>HYPERLINK("https://i.ytimg.com/vi/o5w7FiDJe1g/default.jpg")</f>
        <v>https://i.ytimg.com/vi/o5w7FiDJe1g/default.jpg</v>
      </c>
      <c r="G94" s="66"/>
      <c r="H94" s="70" t="s">
        <v>596</v>
      </c>
      <c r="I94" s="71"/>
      <c r="J94" s="71" t="s">
        <v>159</v>
      </c>
      <c r="K94" s="70" t="s">
        <v>596</v>
      </c>
      <c r="L94" s="74">
        <v>909.9090909090909</v>
      </c>
      <c r="M94" s="75">
        <v>3705.12939453125</v>
      </c>
      <c r="N94" s="75">
        <v>5747.24755859375</v>
      </c>
      <c r="O94" s="76"/>
      <c r="P94" s="77"/>
      <c r="Q94" s="77"/>
      <c r="R94" s="91"/>
      <c r="S94" s="48">
        <v>1</v>
      </c>
      <c r="T94" s="48">
        <v>0</v>
      </c>
      <c r="U94" s="49">
        <v>0</v>
      </c>
      <c r="V94" s="49">
        <v>0.000855</v>
      </c>
      <c r="W94" s="49">
        <v>0.001571</v>
      </c>
      <c r="X94" s="49">
        <v>0.404225</v>
      </c>
      <c r="Y94" s="49">
        <v>0</v>
      </c>
      <c r="Z94" s="49">
        <v>0</v>
      </c>
      <c r="AA94" s="72">
        <v>94</v>
      </c>
      <c r="AB94" s="72"/>
      <c r="AC94" s="73"/>
      <c r="AD94" s="88" t="s">
        <v>596</v>
      </c>
      <c r="AE94" s="88" t="s">
        <v>872</v>
      </c>
      <c r="AF94" s="88" t="s">
        <v>1145</v>
      </c>
      <c r="AG94" s="88" t="s">
        <v>1316</v>
      </c>
      <c r="AH94" s="88" t="s">
        <v>1515</v>
      </c>
      <c r="AI94" s="88">
        <v>95053</v>
      </c>
      <c r="AJ94" s="88">
        <v>698</v>
      </c>
      <c r="AK94" s="88">
        <v>2838</v>
      </c>
      <c r="AL94" s="88">
        <v>58</v>
      </c>
      <c r="AM94" s="88" t="s">
        <v>1705</v>
      </c>
      <c r="AN94" s="100" t="str">
        <f>HYPERLINK("https://www.youtube.com/watch?v=o5w7FiDJe1g")</f>
        <v>https://www.youtube.com/watch?v=o5w7FiDJe1g</v>
      </c>
      <c r="AO94" s="88" t="str">
        <f>REPLACE(INDEX(GroupVertices[Group],MATCH(Vertices[[#This Row],[Vertex]],GroupVertices[Vertex],0)),1,1,"")</f>
        <v>5</v>
      </c>
      <c r="AP94" s="48">
        <v>0</v>
      </c>
      <c r="AQ94" s="49">
        <v>0</v>
      </c>
      <c r="AR94" s="48">
        <v>1</v>
      </c>
      <c r="AS94" s="49">
        <v>1.8181818181818181</v>
      </c>
      <c r="AT94" s="48">
        <v>0</v>
      </c>
      <c r="AU94" s="49">
        <v>0</v>
      </c>
      <c r="AV94" s="48">
        <v>54</v>
      </c>
      <c r="AW94" s="49">
        <v>98.18181818181819</v>
      </c>
      <c r="AX94" s="48">
        <v>55</v>
      </c>
      <c r="AY94" s="48"/>
      <c r="AZ94" s="48"/>
      <c r="BA94" s="48"/>
      <c r="BB94" s="48"/>
      <c r="BC94" s="2"/>
      <c r="BD94" s="3"/>
      <c r="BE94" s="3"/>
      <c r="BF94" s="3"/>
      <c r="BG94" s="3"/>
    </row>
    <row r="95" spans="1:59" ht="15">
      <c r="A95" s="65" t="s">
        <v>318</v>
      </c>
      <c r="B95" s="66"/>
      <c r="C95" s="66"/>
      <c r="D95" s="67">
        <v>92.42647114264494</v>
      </c>
      <c r="E95" s="69"/>
      <c r="F95" s="98" t="str">
        <f>HYPERLINK("https://i.ytimg.com/vi/exwROZfgBeM/default.jpg")</f>
        <v>https://i.ytimg.com/vi/exwROZfgBeM/default.jpg</v>
      </c>
      <c r="G95" s="66"/>
      <c r="H95" s="70" t="s">
        <v>597</v>
      </c>
      <c r="I95" s="71"/>
      <c r="J95" s="71" t="s">
        <v>159</v>
      </c>
      <c r="K95" s="70" t="s">
        <v>597</v>
      </c>
      <c r="L95" s="74">
        <v>909.9090909090909</v>
      </c>
      <c r="M95" s="75">
        <v>4237.33056640625</v>
      </c>
      <c r="N95" s="75">
        <v>6115.4365234375</v>
      </c>
      <c r="O95" s="76"/>
      <c r="P95" s="77"/>
      <c r="Q95" s="77"/>
      <c r="R95" s="91"/>
      <c r="S95" s="48">
        <v>1</v>
      </c>
      <c r="T95" s="48">
        <v>0</v>
      </c>
      <c r="U95" s="49">
        <v>0</v>
      </c>
      <c r="V95" s="49">
        <v>0.000855</v>
      </c>
      <c r="W95" s="49">
        <v>0.001571</v>
      </c>
      <c r="X95" s="49">
        <v>0.404225</v>
      </c>
      <c r="Y95" s="49">
        <v>0</v>
      </c>
      <c r="Z95" s="49">
        <v>0</v>
      </c>
      <c r="AA95" s="72">
        <v>95</v>
      </c>
      <c r="AB95" s="72"/>
      <c r="AC95" s="73"/>
      <c r="AD95" s="88" t="s">
        <v>597</v>
      </c>
      <c r="AE95" s="88" t="s">
        <v>873</v>
      </c>
      <c r="AF95" s="88" t="s">
        <v>1146</v>
      </c>
      <c r="AG95" s="88" t="s">
        <v>1327</v>
      </c>
      <c r="AH95" s="88" t="s">
        <v>1516</v>
      </c>
      <c r="AI95" s="88">
        <v>114733</v>
      </c>
      <c r="AJ95" s="88">
        <v>413</v>
      </c>
      <c r="AK95" s="88">
        <v>655</v>
      </c>
      <c r="AL95" s="88">
        <v>84</v>
      </c>
      <c r="AM95" s="88" t="s">
        <v>1705</v>
      </c>
      <c r="AN95" s="100" t="str">
        <f>HYPERLINK("https://www.youtube.com/watch?v=exwROZfgBeM")</f>
        <v>https://www.youtube.com/watch?v=exwROZfgBeM</v>
      </c>
      <c r="AO95" s="88" t="str">
        <f>REPLACE(INDEX(GroupVertices[Group],MATCH(Vertices[[#This Row],[Vertex]],GroupVertices[Vertex],0)),1,1,"")</f>
        <v>5</v>
      </c>
      <c r="AP95" s="48">
        <v>3</v>
      </c>
      <c r="AQ95" s="49">
        <v>4.918032786885246</v>
      </c>
      <c r="AR95" s="48">
        <v>6</v>
      </c>
      <c r="AS95" s="49">
        <v>9.836065573770492</v>
      </c>
      <c r="AT95" s="48">
        <v>0</v>
      </c>
      <c r="AU95" s="49">
        <v>0</v>
      </c>
      <c r="AV95" s="48">
        <v>52</v>
      </c>
      <c r="AW95" s="49">
        <v>85.24590163934427</v>
      </c>
      <c r="AX95" s="48">
        <v>61</v>
      </c>
      <c r="AY95" s="48"/>
      <c r="AZ95" s="48"/>
      <c r="BA95" s="48"/>
      <c r="BB95" s="48"/>
      <c r="BC95" s="2"/>
      <c r="BD95" s="3"/>
      <c r="BE95" s="3"/>
      <c r="BF95" s="3"/>
      <c r="BG95" s="3"/>
    </row>
    <row r="96" spans="1:59" ht="15">
      <c r="A96" s="65" t="s">
        <v>224</v>
      </c>
      <c r="B96" s="66"/>
      <c r="C96" s="66"/>
      <c r="D96" s="67">
        <v>84.4061518625614</v>
      </c>
      <c r="E96" s="69"/>
      <c r="F96" s="98" t="str">
        <f>HYPERLINK("https://i.ytimg.com/vi/_4X3SsPoGYs/default.jpg")</f>
        <v>https://i.ytimg.com/vi/_4X3SsPoGYs/default.jpg</v>
      </c>
      <c r="G96" s="66"/>
      <c r="H96" s="70" t="s">
        <v>598</v>
      </c>
      <c r="I96" s="71"/>
      <c r="J96" s="71" t="s">
        <v>75</v>
      </c>
      <c r="K96" s="70" t="s">
        <v>598</v>
      </c>
      <c r="L96" s="74">
        <v>3636.6363636363635</v>
      </c>
      <c r="M96" s="75">
        <v>2012.1436767578125</v>
      </c>
      <c r="N96" s="75">
        <v>2097.380859375</v>
      </c>
      <c r="O96" s="76"/>
      <c r="P96" s="77"/>
      <c r="Q96" s="77"/>
      <c r="R96" s="91"/>
      <c r="S96" s="48">
        <v>4</v>
      </c>
      <c r="T96" s="48">
        <v>20</v>
      </c>
      <c r="U96" s="49">
        <v>13230.534029</v>
      </c>
      <c r="V96" s="49">
        <v>0.001205</v>
      </c>
      <c r="W96" s="49">
        <v>0.038627</v>
      </c>
      <c r="X96" s="49">
        <v>5.940718</v>
      </c>
      <c r="Y96" s="49">
        <v>0.057971014492753624</v>
      </c>
      <c r="Z96" s="49">
        <v>0</v>
      </c>
      <c r="AA96" s="72">
        <v>96</v>
      </c>
      <c r="AB96" s="72"/>
      <c r="AC96" s="73"/>
      <c r="AD96" s="88" t="s">
        <v>598</v>
      </c>
      <c r="AE96" s="88" t="s">
        <v>874</v>
      </c>
      <c r="AF96" s="88" t="s">
        <v>1147</v>
      </c>
      <c r="AG96" s="88" t="s">
        <v>1356</v>
      </c>
      <c r="AH96" s="88" t="s">
        <v>1517</v>
      </c>
      <c r="AI96" s="88">
        <v>40736</v>
      </c>
      <c r="AJ96" s="88">
        <v>187</v>
      </c>
      <c r="AK96" s="88">
        <v>592</v>
      </c>
      <c r="AL96" s="88">
        <v>67</v>
      </c>
      <c r="AM96" s="88" t="s">
        <v>1705</v>
      </c>
      <c r="AN96" s="100" t="str">
        <f>HYPERLINK("https://www.youtube.com/watch?v=_4X3SsPoGYs")</f>
        <v>https://www.youtube.com/watch?v=_4X3SsPoGYs</v>
      </c>
      <c r="AO96" s="88" t="str">
        <f>REPLACE(INDEX(GroupVertices[Group],MATCH(Vertices[[#This Row],[Vertex]],GroupVertices[Vertex],0)),1,1,"")</f>
        <v>2</v>
      </c>
      <c r="AP96" s="48">
        <v>0</v>
      </c>
      <c r="AQ96" s="49">
        <v>0</v>
      </c>
      <c r="AR96" s="48">
        <v>1</v>
      </c>
      <c r="AS96" s="49">
        <v>2.857142857142857</v>
      </c>
      <c r="AT96" s="48">
        <v>0</v>
      </c>
      <c r="AU96" s="49">
        <v>0</v>
      </c>
      <c r="AV96" s="48">
        <v>34</v>
      </c>
      <c r="AW96" s="49">
        <v>97.14285714285714</v>
      </c>
      <c r="AX96" s="48">
        <v>35</v>
      </c>
      <c r="AY96" s="121" t="s">
        <v>2747</v>
      </c>
      <c r="AZ96" s="121" t="s">
        <v>2747</v>
      </c>
      <c r="BA96" s="121" t="s">
        <v>2747</v>
      </c>
      <c r="BB96" s="121" t="s">
        <v>2747</v>
      </c>
      <c r="BC96" s="2"/>
      <c r="BD96" s="3"/>
      <c r="BE96" s="3"/>
      <c r="BF96" s="3"/>
      <c r="BG96" s="3"/>
    </row>
    <row r="97" spans="1:59" ht="15">
      <c r="A97" s="65" t="s">
        <v>222</v>
      </c>
      <c r="B97" s="66"/>
      <c r="C97" s="66"/>
      <c r="D97" s="67">
        <v>90.94893837204481</v>
      </c>
      <c r="E97" s="69"/>
      <c r="F97" s="98" t="str">
        <f>HYPERLINK("https://i.ytimg.com/vi/hGrp5zsqi60/default.jpg")</f>
        <v>https://i.ytimg.com/vi/hGrp5zsqi60/default.jpg</v>
      </c>
      <c r="G97" s="66"/>
      <c r="H97" s="70" t="s">
        <v>599</v>
      </c>
      <c r="I97" s="71"/>
      <c r="J97" s="71" t="s">
        <v>75</v>
      </c>
      <c r="K97" s="70" t="s">
        <v>599</v>
      </c>
      <c r="L97" s="74">
        <v>3636.6363636363635</v>
      </c>
      <c r="M97" s="75">
        <v>1507.4091796875</v>
      </c>
      <c r="N97" s="75">
        <v>3268.699462890625</v>
      </c>
      <c r="O97" s="76"/>
      <c r="P97" s="77"/>
      <c r="Q97" s="77"/>
      <c r="R97" s="91"/>
      <c r="S97" s="48">
        <v>4</v>
      </c>
      <c r="T97" s="48">
        <v>20</v>
      </c>
      <c r="U97" s="49">
        <v>5310.079207</v>
      </c>
      <c r="V97" s="49">
        <v>0.001176</v>
      </c>
      <c r="W97" s="49">
        <v>0.038842</v>
      </c>
      <c r="X97" s="49">
        <v>5.738144</v>
      </c>
      <c r="Y97" s="49">
        <v>0.05615942028985507</v>
      </c>
      <c r="Z97" s="49">
        <v>0</v>
      </c>
      <c r="AA97" s="72">
        <v>97</v>
      </c>
      <c r="AB97" s="72"/>
      <c r="AC97" s="73"/>
      <c r="AD97" s="88" t="s">
        <v>599</v>
      </c>
      <c r="AE97" s="88" t="s">
        <v>875</v>
      </c>
      <c r="AF97" s="88" t="s">
        <v>1148</v>
      </c>
      <c r="AG97" s="88" t="s">
        <v>1353</v>
      </c>
      <c r="AH97" s="88" t="s">
        <v>1518</v>
      </c>
      <c r="AI97" s="88">
        <v>101101</v>
      </c>
      <c r="AJ97" s="88">
        <v>511</v>
      </c>
      <c r="AK97" s="88">
        <v>1676</v>
      </c>
      <c r="AL97" s="88">
        <v>129</v>
      </c>
      <c r="AM97" s="88" t="s">
        <v>1705</v>
      </c>
      <c r="AN97" s="100" t="str">
        <f>HYPERLINK("https://www.youtube.com/watch?v=hGrp5zsqi60")</f>
        <v>https://www.youtube.com/watch?v=hGrp5zsqi60</v>
      </c>
      <c r="AO97" s="88" t="str">
        <f>REPLACE(INDEX(GroupVertices[Group],MATCH(Vertices[[#This Row],[Vertex]],GroupVertices[Vertex],0)),1,1,"")</f>
        <v>2</v>
      </c>
      <c r="AP97" s="48">
        <v>0</v>
      </c>
      <c r="AQ97" s="49">
        <v>0</v>
      </c>
      <c r="AR97" s="48">
        <v>5</v>
      </c>
      <c r="AS97" s="49">
        <v>7.8125</v>
      </c>
      <c r="AT97" s="48">
        <v>0</v>
      </c>
      <c r="AU97" s="49">
        <v>0</v>
      </c>
      <c r="AV97" s="48">
        <v>59</v>
      </c>
      <c r="AW97" s="49">
        <v>92.1875</v>
      </c>
      <c r="AX97" s="48">
        <v>64</v>
      </c>
      <c r="AY97" s="121" t="s">
        <v>2747</v>
      </c>
      <c r="AZ97" s="121" t="s">
        <v>2747</v>
      </c>
      <c r="BA97" s="121" t="s">
        <v>2747</v>
      </c>
      <c r="BB97" s="121" t="s">
        <v>2747</v>
      </c>
      <c r="BC97" s="2"/>
      <c r="BD97" s="3"/>
      <c r="BE97" s="3"/>
      <c r="BF97" s="3"/>
      <c r="BG97" s="3"/>
    </row>
    <row r="98" spans="1:59" ht="15">
      <c r="A98" s="65" t="s">
        <v>319</v>
      </c>
      <c r="B98" s="66"/>
      <c r="C98" s="66"/>
      <c r="D98" s="67">
        <v>103.79139915476922</v>
      </c>
      <c r="E98" s="69"/>
      <c r="F98" s="98" t="str">
        <f>HYPERLINK("https://i.ytimg.com/vi/2Z-KC_mb_8w/default.jpg")</f>
        <v>https://i.ytimg.com/vi/2Z-KC_mb_8w/default.jpg</v>
      </c>
      <c r="G98" s="66"/>
      <c r="H98" s="70" t="s">
        <v>600</v>
      </c>
      <c r="I98" s="71"/>
      <c r="J98" s="71" t="s">
        <v>75</v>
      </c>
      <c r="K98" s="70" t="s">
        <v>600</v>
      </c>
      <c r="L98" s="74">
        <v>8181.181818181818</v>
      </c>
      <c r="M98" s="75">
        <v>1638.7933349609375</v>
      </c>
      <c r="N98" s="75">
        <v>2285.235595703125</v>
      </c>
      <c r="O98" s="76"/>
      <c r="P98" s="77"/>
      <c r="Q98" s="77"/>
      <c r="R98" s="91"/>
      <c r="S98" s="48">
        <v>9</v>
      </c>
      <c r="T98" s="48">
        <v>0</v>
      </c>
      <c r="U98" s="49">
        <v>5725.973382</v>
      </c>
      <c r="V98" s="49">
        <v>0.001175</v>
      </c>
      <c r="W98" s="49">
        <v>0.023567</v>
      </c>
      <c r="X98" s="49">
        <v>2.233831</v>
      </c>
      <c r="Y98" s="49">
        <v>0.125</v>
      </c>
      <c r="Z98" s="49">
        <v>0</v>
      </c>
      <c r="AA98" s="72">
        <v>98</v>
      </c>
      <c r="AB98" s="72"/>
      <c r="AC98" s="73"/>
      <c r="AD98" s="88" t="s">
        <v>600</v>
      </c>
      <c r="AE98" s="88" t="s">
        <v>876</v>
      </c>
      <c r="AF98" s="88" t="s">
        <v>1149</v>
      </c>
      <c r="AG98" s="88" t="s">
        <v>1357</v>
      </c>
      <c r="AH98" s="88" t="s">
        <v>1519</v>
      </c>
      <c r="AI98" s="88">
        <v>219588</v>
      </c>
      <c r="AJ98" s="88">
        <v>0</v>
      </c>
      <c r="AK98" s="88">
        <v>2056</v>
      </c>
      <c r="AL98" s="88">
        <v>327</v>
      </c>
      <c r="AM98" s="88" t="s">
        <v>1705</v>
      </c>
      <c r="AN98" s="100" t="str">
        <f>HYPERLINK("https://www.youtube.com/watch?v=2Z-KC_mb_8w")</f>
        <v>https://www.youtube.com/watch?v=2Z-KC_mb_8w</v>
      </c>
      <c r="AO98" s="88" t="str">
        <f>REPLACE(INDEX(GroupVertices[Group],MATCH(Vertices[[#This Row],[Vertex]],GroupVertices[Vertex],0)),1,1,"")</f>
        <v>2</v>
      </c>
      <c r="AP98" s="48">
        <v>1</v>
      </c>
      <c r="AQ98" s="49">
        <v>1.7241379310344827</v>
      </c>
      <c r="AR98" s="48">
        <v>0</v>
      </c>
      <c r="AS98" s="49">
        <v>0</v>
      </c>
      <c r="AT98" s="48">
        <v>0</v>
      </c>
      <c r="AU98" s="49">
        <v>0</v>
      </c>
      <c r="AV98" s="48">
        <v>57</v>
      </c>
      <c r="AW98" s="49">
        <v>98.27586206896552</v>
      </c>
      <c r="AX98" s="48">
        <v>58</v>
      </c>
      <c r="AY98" s="48"/>
      <c r="AZ98" s="48"/>
      <c r="BA98" s="48"/>
      <c r="BB98" s="48"/>
      <c r="BC98" s="2"/>
      <c r="BD98" s="3"/>
      <c r="BE98" s="3"/>
      <c r="BF98" s="3"/>
      <c r="BG98" s="3"/>
    </row>
    <row r="99" spans="1:59" ht="15">
      <c r="A99" s="65" t="s">
        <v>320</v>
      </c>
      <c r="B99" s="66"/>
      <c r="C99" s="66"/>
      <c r="D99" s="67">
        <v>82.24513012105425</v>
      </c>
      <c r="E99" s="69"/>
      <c r="F99" s="98" t="str">
        <f>HYPERLINK("https://i.ytimg.com/vi/uQ_MTxZ-pVE/default.jpg")</f>
        <v>https://i.ytimg.com/vi/uQ_MTxZ-pVE/default.jpg</v>
      </c>
      <c r="G99" s="66"/>
      <c r="H99" s="70" t="s">
        <v>601</v>
      </c>
      <c r="I99" s="71"/>
      <c r="J99" s="71" t="s">
        <v>75</v>
      </c>
      <c r="K99" s="70" t="s">
        <v>601</v>
      </c>
      <c r="L99" s="74">
        <v>3636.6363636363635</v>
      </c>
      <c r="M99" s="75">
        <v>925.3671875</v>
      </c>
      <c r="N99" s="75">
        <v>2738.218505859375</v>
      </c>
      <c r="O99" s="76"/>
      <c r="P99" s="77"/>
      <c r="Q99" s="77"/>
      <c r="R99" s="91"/>
      <c r="S99" s="48">
        <v>4</v>
      </c>
      <c r="T99" s="48">
        <v>0</v>
      </c>
      <c r="U99" s="49">
        <v>393.001331</v>
      </c>
      <c r="V99" s="49">
        <v>0.001033</v>
      </c>
      <c r="W99" s="49">
        <v>0.012828</v>
      </c>
      <c r="X99" s="49">
        <v>0.992593</v>
      </c>
      <c r="Y99" s="49">
        <v>0.16666666666666666</v>
      </c>
      <c r="Z99" s="49">
        <v>0</v>
      </c>
      <c r="AA99" s="72">
        <v>99</v>
      </c>
      <c r="AB99" s="72"/>
      <c r="AC99" s="73"/>
      <c r="AD99" s="88" t="s">
        <v>601</v>
      </c>
      <c r="AE99" s="88" t="s">
        <v>877</v>
      </c>
      <c r="AF99" s="88" t="s">
        <v>1150</v>
      </c>
      <c r="AG99" s="88" t="s">
        <v>1347</v>
      </c>
      <c r="AH99" s="88" t="s">
        <v>1520</v>
      </c>
      <c r="AI99" s="88">
        <v>20798</v>
      </c>
      <c r="AJ99" s="88">
        <v>95</v>
      </c>
      <c r="AK99" s="88">
        <v>134</v>
      </c>
      <c r="AL99" s="88">
        <v>28</v>
      </c>
      <c r="AM99" s="88" t="s">
        <v>1705</v>
      </c>
      <c r="AN99" s="100" t="str">
        <f>HYPERLINK("https://www.youtube.com/watch?v=uQ_MTxZ-pVE")</f>
        <v>https://www.youtube.com/watch?v=uQ_MTxZ-pVE</v>
      </c>
      <c r="AO99" s="88" t="str">
        <f>REPLACE(INDEX(GroupVertices[Group],MATCH(Vertices[[#This Row],[Vertex]],GroupVertices[Vertex],0)),1,1,"")</f>
        <v>2</v>
      </c>
      <c r="AP99" s="48">
        <v>0</v>
      </c>
      <c r="AQ99" s="49">
        <v>0</v>
      </c>
      <c r="AR99" s="48">
        <v>0</v>
      </c>
      <c r="AS99" s="49">
        <v>0</v>
      </c>
      <c r="AT99" s="48">
        <v>0</v>
      </c>
      <c r="AU99" s="49">
        <v>0</v>
      </c>
      <c r="AV99" s="48">
        <v>15</v>
      </c>
      <c r="AW99" s="49">
        <v>100</v>
      </c>
      <c r="AX99" s="48">
        <v>15</v>
      </c>
      <c r="AY99" s="48"/>
      <c r="AZ99" s="48"/>
      <c r="BA99" s="48"/>
      <c r="BB99" s="48"/>
      <c r="BC99" s="2"/>
      <c r="BD99" s="3"/>
      <c r="BE99" s="3"/>
      <c r="BF99" s="3"/>
      <c r="BG99" s="3"/>
    </row>
    <row r="100" spans="1:59" ht="15">
      <c r="A100" s="65" t="s">
        <v>321</v>
      </c>
      <c r="B100" s="66"/>
      <c r="C100" s="66"/>
      <c r="D100" s="67">
        <v>102.72747150833355</v>
      </c>
      <c r="E100" s="69"/>
      <c r="F100" s="98" t="str">
        <f>HYPERLINK("https://i.ytimg.com/vi/7l74Rj5-ilE/default.jpg")</f>
        <v>https://i.ytimg.com/vi/7l74Rj5-ilE/default.jpg</v>
      </c>
      <c r="G100" s="66"/>
      <c r="H100" s="70" t="s">
        <v>602</v>
      </c>
      <c r="I100" s="71"/>
      <c r="J100" s="71" t="s">
        <v>75</v>
      </c>
      <c r="K100" s="70" t="s">
        <v>602</v>
      </c>
      <c r="L100" s="74">
        <v>3636.6363636363635</v>
      </c>
      <c r="M100" s="75">
        <v>1941.0482177734375</v>
      </c>
      <c r="N100" s="75">
        <v>3954.24853515625</v>
      </c>
      <c r="O100" s="76"/>
      <c r="P100" s="77"/>
      <c r="Q100" s="77"/>
      <c r="R100" s="91"/>
      <c r="S100" s="48">
        <v>4</v>
      </c>
      <c r="T100" s="48">
        <v>0</v>
      </c>
      <c r="U100" s="49">
        <v>1184.434824</v>
      </c>
      <c r="V100" s="49">
        <v>0.001046</v>
      </c>
      <c r="W100" s="49">
        <v>0.012346</v>
      </c>
      <c r="X100" s="49">
        <v>1.014611</v>
      </c>
      <c r="Y100" s="49">
        <v>0.25</v>
      </c>
      <c r="Z100" s="49">
        <v>0</v>
      </c>
      <c r="AA100" s="72">
        <v>100</v>
      </c>
      <c r="AB100" s="72"/>
      <c r="AC100" s="73"/>
      <c r="AD100" s="88" t="s">
        <v>602</v>
      </c>
      <c r="AE100" s="88" t="s">
        <v>878</v>
      </c>
      <c r="AF100" s="88" t="s">
        <v>1151</v>
      </c>
      <c r="AG100" s="88" t="s">
        <v>1311</v>
      </c>
      <c r="AH100" s="88" t="s">
        <v>1521</v>
      </c>
      <c r="AI100" s="88">
        <v>209772</v>
      </c>
      <c r="AJ100" s="88">
        <v>1257</v>
      </c>
      <c r="AK100" s="88">
        <v>5052</v>
      </c>
      <c r="AL100" s="88">
        <v>178</v>
      </c>
      <c r="AM100" s="88" t="s">
        <v>1705</v>
      </c>
      <c r="AN100" s="100" t="str">
        <f>HYPERLINK("https://www.youtube.com/watch?v=7l74Rj5-ilE")</f>
        <v>https://www.youtube.com/watch?v=7l74Rj5-ilE</v>
      </c>
      <c r="AO100" s="88" t="str">
        <f>REPLACE(INDEX(GroupVertices[Group],MATCH(Vertices[[#This Row],[Vertex]],GroupVertices[Vertex],0)),1,1,"")</f>
        <v>2</v>
      </c>
      <c r="AP100" s="48">
        <v>1</v>
      </c>
      <c r="AQ100" s="49">
        <v>1.9607843137254901</v>
      </c>
      <c r="AR100" s="48">
        <v>3</v>
      </c>
      <c r="AS100" s="49">
        <v>5.882352941176471</v>
      </c>
      <c r="AT100" s="48">
        <v>0</v>
      </c>
      <c r="AU100" s="49">
        <v>0</v>
      </c>
      <c r="AV100" s="48">
        <v>47</v>
      </c>
      <c r="AW100" s="49">
        <v>92.15686274509804</v>
      </c>
      <c r="AX100" s="48">
        <v>51</v>
      </c>
      <c r="AY100" s="48"/>
      <c r="AZ100" s="48"/>
      <c r="BA100" s="48"/>
      <c r="BB100" s="48"/>
      <c r="BC100" s="2"/>
      <c r="BD100" s="3"/>
      <c r="BE100" s="3"/>
      <c r="BF100" s="3"/>
      <c r="BG100" s="3"/>
    </row>
    <row r="101" spans="1:59" ht="15">
      <c r="A101" s="65" t="s">
        <v>322</v>
      </c>
      <c r="B101" s="66"/>
      <c r="C101" s="66"/>
      <c r="D101" s="67">
        <v>83.74455708323751</v>
      </c>
      <c r="E101" s="69"/>
      <c r="F101" s="98" t="str">
        <f>HYPERLINK("https://i.ytimg.com/vi/0XabBM2qhuQ/default.jpg")</f>
        <v>https://i.ytimg.com/vi/0XabBM2qhuQ/default.jpg</v>
      </c>
      <c r="G101" s="66"/>
      <c r="H101" s="70" t="s">
        <v>603</v>
      </c>
      <c r="I101" s="71"/>
      <c r="J101" s="71" t="s">
        <v>75</v>
      </c>
      <c r="K101" s="70" t="s">
        <v>603</v>
      </c>
      <c r="L101" s="74">
        <v>4545.545454545455</v>
      </c>
      <c r="M101" s="75">
        <v>2472.178955078125</v>
      </c>
      <c r="N101" s="75">
        <v>2840.44287109375</v>
      </c>
      <c r="O101" s="76"/>
      <c r="P101" s="77"/>
      <c r="Q101" s="77"/>
      <c r="R101" s="91"/>
      <c r="S101" s="48">
        <v>5</v>
      </c>
      <c r="T101" s="48">
        <v>0</v>
      </c>
      <c r="U101" s="49">
        <v>893.854864</v>
      </c>
      <c r="V101" s="49">
        <v>0.001095</v>
      </c>
      <c r="W101" s="49">
        <v>0.015026</v>
      </c>
      <c r="X101" s="49">
        <v>1.246793</v>
      </c>
      <c r="Y101" s="49">
        <v>0.1</v>
      </c>
      <c r="Z101" s="49">
        <v>0</v>
      </c>
      <c r="AA101" s="72">
        <v>101</v>
      </c>
      <c r="AB101" s="72"/>
      <c r="AC101" s="73"/>
      <c r="AD101" s="88" t="s">
        <v>603</v>
      </c>
      <c r="AE101" s="88" t="s">
        <v>879</v>
      </c>
      <c r="AF101" s="88" t="s">
        <v>1152</v>
      </c>
      <c r="AG101" s="88" t="s">
        <v>1358</v>
      </c>
      <c r="AH101" s="88" t="s">
        <v>1522</v>
      </c>
      <c r="AI101" s="88">
        <v>34632</v>
      </c>
      <c r="AJ101" s="88">
        <v>292</v>
      </c>
      <c r="AK101" s="88">
        <v>324</v>
      </c>
      <c r="AL101" s="88">
        <v>73</v>
      </c>
      <c r="AM101" s="88" t="s">
        <v>1705</v>
      </c>
      <c r="AN101" s="100" t="str">
        <f>HYPERLINK("https://www.youtube.com/watch?v=0XabBM2qhuQ")</f>
        <v>https://www.youtube.com/watch?v=0XabBM2qhuQ</v>
      </c>
      <c r="AO101" s="88" t="str">
        <f>REPLACE(INDEX(GroupVertices[Group],MATCH(Vertices[[#This Row],[Vertex]],GroupVertices[Vertex],0)),1,1,"")</f>
        <v>2</v>
      </c>
      <c r="AP101" s="48">
        <v>0</v>
      </c>
      <c r="AQ101" s="49">
        <v>0</v>
      </c>
      <c r="AR101" s="48">
        <v>1</v>
      </c>
      <c r="AS101" s="49">
        <v>3.4482758620689653</v>
      </c>
      <c r="AT101" s="48">
        <v>0</v>
      </c>
      <c r="AU101" s="49">
        <v>0</v>
      </c>
      <c r="AV101" s="48">
        <v>28</v>
      </c>
      <c r="AW101" s="49">
        <v>96.55172413793103</v>
      </c>
      <c r="AX101" s="48">
        <v>29</v>
      </c>
      <c r="AY101" s="48"/>
      <c r="AZ101" s="48"/>
      <c r="BA101" s="48"/>
      <c r="BB101" s="48"/>
      <c r="BC101" s="2"/>
      <c r="BD101" s="3"/>
      <c r="BE101" s="3"/>
      <c r="BF101" s="3"/>
      <c r="BG101" s="3"/>
    </row>
    <row r="102" spans="1:59" ht="15">
      <c r="A102" s="65" t="s">
        <v>323</v>
      </c>
      <c r="B102" s="66"/>
      <c r="C102" s="66"/>
      <c r="D102" s="67">
        <v>116.58790381258648</v>
      </c>
      <c r="E102" s="69"/>
      <c r="F102" s="98" t="str">
        <f>HYPERLINK("https://i.ytimg.com/vi/3OC4CIfZ_1A/default.jpg")</f>
        <v>https://i.ytimg.com/vi/3OC4CIfZ_1A/default.jpg</v>
      </c>
      <c r="G102" s="66"/>
      <c r="H102" s="70" t="s">
        <v>604</v>
      </c>
      <c r="I102" s="71"/>
      <c r="J102" s="71" t="s">
        <v>159</v>
      </c>
      <c r="K102" s="70" t="s">
        <v>604</v>
      </c>
      <c r="L102" s="74">
        <v>909.9090909090909</v>
      </c>
      <c r="M102" s="75">
        <v>4399.1328125</v>
      </c>
      <c r="N102" s="75">
        <v>6554.69091796875</v>
      </c>
      <c r="O102" s="76"/>
      <c r="P102" s="77"/>
      <c r="Q102" s="77"/>
      <c r="R102" s="91"/>
      <c r="S102" s="48">
        <v>1</v>
      </c>
      <c r="T102" s="48">
        <v>0</v>
      </c>
      <c r="U102" s="49">
        <v>0</v>
      </c>
      <c r="V102" s="49">
        <v>0.000855</v>
      </c>
      <c r="W102" s="49">
        <v>0.001571</v>
      </c>
      <c r="X102" s="49">
        <v>0.404225</v>
      </c>
      <c r="Y102" s="49">
        <v>0</v>
      </c>
      <c r="Z102" s="49">
        <v>0</v>
      </c>
      <c r="AA102" s="72">
        <v>102</v>
      </c>
      <c r="AB102" s="72"/>
      <c r="AC102" s="73"/>
      <c r="AD102" s="88" t="s">
        <v>604</v>
      </c>
      <c r="AE102" s="88" t="s">
        <v>880</v>
      </c>
      <c r="AF102" s="88" t="s">
        <v>1153</v>
      </c>
      <c r="AG102" s="88" t="s">
        <v>1359</v>
      </c>
      <c r="AH102" s="88" t="s">
        <v>1523</v>
      </c>
      <c r="AI102" s="88">
        <v>337651</v>
      </c>
      <c r="AJ102" s="88">
        <v>1816</v>
      </c>
      <c r="AK102" s="88">
        <v>12399</v>
      </c>
      <c r="AL102" s="88">
        <v>170</v>
      </c>
      <c r="AM102" s="88" t="s">
        <v>1705</v>
      </c>
      <c r="AN102" s="100" t="str">
        <f>HYPERLINK("https://www.youtube.com/watch?v=3OC4CIfZ_1A")</f>
        <v>https://www.youtube.com/watch?v=3OC4CIfZ_1A</v>
      </c>
      <c r="AO102" s="88" t="str">
        <f>REPLACE(INDEX(GroupVertices[Group],MATCH(Vertices[[#This Row],[Vertex]],GroupVertices[Vertex],0)),1,1,"")</f>
        <v>5</v>
      </c>
      <c r="AP102" s="48">
        <v>1</v>
      </c>
      <c r="AQ102" s="49">
        <v>1.4705882352941178</v>
      </c>
      <c r="AR102" s="48">
        <v>5</v>
      </c>
      <c r="AS102" s="49">
        <v>7.352941176470588</v>
      </c>
      <c r="AT102" s="48">
        <v>0</v>
      </c>
      <c r="AU102" s="49">
        <v>0</v>
      </c>
      <c r="AV102" s="48">
        <v>62</v>
      </c>
      <c r="AW102" s="49">
        <v>91.17647058823529</v>
      </c>
      <c r="AX102" s="48">
        <v>68</v>
      </c>
      <c r="AY102" s="48"/>
      <c r="AZ102" s="48"/>
      <c r="BA102" s="48"/>
      <c r="BB102" s="48"/>
      <c r="BC102" s="2"/>
      <c r="BD102" s="3"/>
      <c r="BE102" s="3"/>
      <c r="BF102" s="3"/>
      <c r="BG102" s="3"/>
    </row>
    <row r="103" spans="1:59" ht="15">
      <c r="A103" s="65" t="s">
        <v>324</v>
      </c>
      <c r="B103" s="66"/>
      <c r="C103" s="66"/>
      <c r="D103" s="67">
        <v>84.8509724677949</v>
      </c>
      <c r="E103" s="69"/>
      <c r="F103" s="98" t="str">
        <f>HYPERLINK("https://i.ytimg.com/vi/ma9SIElODdg/default.jpg")</f>
        <v>https://i.ytimg.com/vi/ma9SIElODdg/default.jpg</v>
      </c>
      <c r="G103" s="66"/>
      <c r="H103" s="70" t="s">
        <v>605</v>
      </c>
      <c r="I103" s="71"/>
      <c r="J103" s="71" t="s">
        <v>159</v>
      </c>
      <c r="K103" s="70" t="s">
        <v>605</v>
      </c>
      <c r="L103" s="74">
        <v>909.9090909090909</v>
      </c>
      <c r="M103" s="75">
        <v>3621.35546875</v>
      </c>
      <c r="N103" s="75">
        <v>5089.3037109375</v>
      </c>
      <c r="O103" s="76"/>
      <c r="P103" s="77"/>
      <c r="Q103" s="77"/>
      <c r="R103" s="91"/>
      <c r="S103" s="48">
        <v>1</v>
      </c>
      <c r="T103" s="48">
        <v>0</v>
      </c>
      <c r="U103" s="49">
        <v>0</v>
      </c>
      <c r="V103" s="49">
        <v>0.000855</v>
      </c>
      <c r="W103" s="49">
        <v>0.001571</v>
      </c>
      <c r="X103" s="49">
        <v>0.404225</v>
      </c>
      <c r="Y103" s="49">
        <v>0</v>
      </c>
      <c r="Z103" s="49">
        <v>0</v>
      </c>
      <c r="AA103" s="72">
        <v>103</v>
      </c>
      <c r="AB103" s="72"/>
      <c r="AC103" s="73"/>
      <c r="AD103" s="88" t="s">
        <v>605</v>
      </c>
      <c r="AE103" s="88" t="s">
        <v>881</v>
      </c>
      <c r="AF103" s="88" t="s">
        <v>1154</v>
      </c>
      <c r="AG103" s="88" t="s">
        <v>1358</v>
      </c>
      <c r="AH103" s="88" t="s">
        <v>1524</v>
      </c>
      <c r="AI103" s="88">
        <v>44840</v>
      </c>
      <c r="AJ103" s="88">
        <v>406</v>
      </c>
      <c r="AK103" s="88">
        <v>380</v>
      </c>
      <c r="AL103" s="88">
        <v>107</v>
      </c>
      <c r="AM103" s="88" t="s">
        <v>1705</v>
      </c>
      <c r="AN103" s="100" t="str">
        <f>HYPERLINK("https://www.youtube.com/watch?v=ma9SIElODdg")</f>
        <v>https://www.youtube.com/watch?v=ma9SIElODdg</v>
      </c>
      <c r="AO103" s="88" t="str">
        <f>REPLACE(INDEX(GroupVertices[Group],MATCH(Vertices[[#This Row],[Vertex]],GroupVertices[Vertex],0)),1,1,"")</f>
        <v>5</v>
      </c>
      <c r="AP103" s="48">
        <v>1</v>
      </c>
      <c r="AQ103" s="49">
        <v>2.857142857142857</v>
      </c>
      <c r="AR103" s="48">
        <v>1</v>
      </c>
      <c r="AS103" s="49">
        <v>2.857142857142857</v>
      </c>
      <c r="AT103" s="48">
        <v>0</v>
      </c>
      <c r="AU103" s="49">
        <v>0</v>
      </c>
      <c r="AV103" s="48">
        <v>33</v>
      </c>
      <c r="AW103" s="49">
        <v>94.28571428571429</v>
      </c>
      <c r="AX103" s="48">
        <v>35</v>
      </c>
      <c r="AY103" s="48"/>
      <c r="AZ103" s="48"/>
      <c r="BA103" s="48"/>
      <c r="BB103" s="48"/>
      <c r="BC103" s="2"/>
      <c r="BD103" s="3"/>
      <c r="BE103" s="3"/>
      <c r="BF103" s="3"/>
      <c r="BG103" s="3"/>
    </row>
    <row r="104" spans="1:59" ht="15">
      <c r="A104" s="65" t="s">
        <v>325</v>
      </c>
      <c r="B104" s="66"/>
      <c r="C104" s="66"/>
      <c r="D104" s="67">
        <v>163.09810350872561</v>
      </c>
      <c r="E104" s="69"/>
      <c r="F104" s="98" t="str">
        <f>HYPERLINK("https://i.ytimg.com/vi/sA-O9uRrjQU/default.jpg")</f>
        <v>https://i.ytimg.com/vi/sA-O9uRrjQU/default.jpg</v>
      </c>
      <c r="G104" s="66"/>
      <c r="H104" s="70" t="s">
        <v>606</v>
      </c>
      <c r="I104" s="71"/>
      <c r="J104" s="71" t="s">
        <v>159</v>
      </c>
      <c r="K104" s="70" t="s">
        <v>606</v>
      </c>
      <c r="L104" s="74">
        <v>909.9090909090909</v>
      </c>
      <c r="M104" s="75">
        <v>3540.931884765625</v>
      </c>
      <c r="N104" s="75">
        <v>6170.638671875</v>
      </c>
      <c r="O104" s="76"/>
      <c r="P104" s="77"/>
      <c r="Q104" s="77"/>
      <c r="R104" s="91"/>
      <c r="S104" s="48">
        <v>1</v>
      </c>
      <c r="T104" s="48">
        <v>0</v>
      </c>
      <c r="U104" s="49">
        <v>0</v>
      </c>
      <c r="V104" s="49">
        <v>0.000855</v>
      </c>
      <c r="W104" s="49">
        <v>0.001571</v>
      </c>
      <c r="X104" s="49">
        <v>0.404225</v>
      </c>
      <c r="Y104" s="49">
        <v>0</v>
      </c>
      <c r="Z104" s="49">
        <v>0</v>
      </c>
      <c r="AA104" s="72">
        <v>104</v>
      </c>
      <c r="AB104" s="72"/>
      <c r="AC104" s="73"/>
      <c r="AD104" s="88" t="s">
        <v>606</v>
      </c>
      <c r="AE104" s="88" t="s">
        <v>882</v>
      </c>
      <c r="AF104" s="88" t="s">
        <v>1155</v>
      </c>
      <c r="AG104" s="88" t="s">
        <v>1355</v>
      </c>
      <c r="AH104" s="88" t="s">
        <v>1525</v>
      </c>
      <c r="AI104" s="88">
        <v>766763</v>
      </c>
      <c r="AJ104" s="88">
        <v>5053</v>
      </c>
      <c r="AK104" s="88">
        <v>13366</v>
      </c>
      <c r="AL104" s="88">
        <v>664</v>
      </c>
      <c r="AM104" s="88" t="s">
        <v>1705</v>
      </c>
      <c r="AN104" s="100" t="str">
        <f>HYPERLINK("https://www.youtube.com/watch?v=sA-O9uRrjQU")</f>
        <v>https://www.youtube.com/watch?v=sA-O9uRrjQU</v>
      </c>
      <c r="AO104" s="88" t="str">
        <f>REPLACE(INDEX(GroupVertices[Group],MATCH(Vertices[[#This Row],[Vertex]],GroupVertices[Vertex],0)),1,1,"")</f>
        <v>5</v>
      </c>
      <c r="AP104" s="48">
        <v>2</v>
      </c>
      <c r="AQ104" s="49">
        <v>3.125</v>
      </c>
      <c r="AR104" s="48">
        <v>14</v>
      </c>
      <c r="AS104" s="49">
        <v>21.875</v>
      </c>
      <c r="AT104" s="48">
        <v>0</v>
      </c>
      <c r="AU104" s="49">
        <v>0</v>
      </c>
      <c r="AV104" s="48">
        <v>48</v>
      </c>
      <c r="AW104" s="49">
        <v>75</v>
      </c>
      <c r="AX104" s="48">
        <v>64</v>
      </c>
      <c r="AY104" s="48"/>
      <c r="AZ104" s="48"/>
      <c r="BA104" s="48"/>
      <c r="BB104" s="48"/>
      <c r="BC104" s="2"/>
      <c r="BD104" s="3"/>
      <c r="BE104" s="3"/>
      <c r="BF104" s="3"/>
      <c r="BG104" s="3"/>
    </row>
    <row r="105" spans="1:59" ht="15">
      <c r="A105" s="65" t="s">
        <v>326</v>
      </c>
      <c r="B105" s="66"/>
      <c r="C105" s="66"/>
      <c r="D105" s="67">
        <v>130.83809608185393</v>
      </c>
      <c r="E105" s="69"/>
      <c r="F105" s="98" t="str">
        <f>HYPERLINK("https://i.ytimg.com/vi/_KSLCF9DcWY/default.jpg")</f>
        <v>https://i.ytimg.com/vi/_KSLCF9DcWY/default.jpg</v>
      </c>
      <c r="G105" s="66"/>
      <c r="H105" s="70" t="s">
        <v>607</v>
      </c>
      <c r="I105" s="71"/>
      <c r="J105" s="71" t="s">
        <v>159</v>
      </c>
      <c r="K105" s="70" t="s">
        <v>607</v>
      </c>
      <c r="L105" s="74">
        <v>909.9090909090909</v>
      </c>
      <c r="M105" s="75">
        <v>3453.171630859375</v>
      </c>
      <c r="N105" s="75">
        <v>4763.91162109375</v>
      </c>
      <c r="O105" s="76"/>
      <c r="P105" s="77"/>
      <c r="Q105" s="77"/>
      <c r="R105" s="91"/>
      <c r="S105" s="48">
        <v>1</v>
      </c>
      <c r="T105" s="48">
        <v>0</v>
      </c>
      <c r="U105" s="49">
        <v>0</v>
      </c>
      <c r="V105" s="49">
        <v>0.000855</v>
      </c>
      <c r="W105" s="49">
        <v>0.001571</v>
      </c>
      <c r="X105" s="49">
        <v>0.404225</v>
      </c>
      <c r="Y105" s="49">
        <v>0</v>
      </c>
      <c r="Z105" s="49">
        <v>0</v>
      </c>
      <c r="AA105" s="72">
        <v>105</v>
      </c>
      <c r="AB105" s="72"/>
      <c r="AC105" s="73"/>
      <c r="AD105" s="88" t="s">
        <v>607</v>
      </c>
      <c r="AE105" s="88" t="s">
        <v>883</v>
      </c>
      <c r="AF105" s="88" t="s">
        <v>1156</v>
      </c>
      <c r="AG105" s="88" t="s">
        <v>1360</v>
      </c>
      <c r="AH105" s="88" t="s">
        <v>1526</v>
      </c>
      <c r="AI105" s="88">
        <v>469126</v>
      </c>
      <c r="AJ105" s="88">
        <v>5509</v>
      </c>
      <c r="AK105" s="88">
        <v>7695</v>
      </c>
      <c r="AL105" s="88">
        <v>595</v>
      </c>
      <c r="AM105" s="88" t="s">
        <v>1705</v>
      </c>
      <c r="AN105" s="100" t="str">
        <f>HYPERLINK("https://www.youtube.com/watch?v=_KSLCF9DcWY")</f>
        <v>https://www.youtube.com/watch?v=_KSLCF9DcWY</v>
      </c>
      <c r="AO105" s="88" t="str">
        <f>REPLACE(INDEX(GroupVertices[Group],MATCH(Vertices[[#This Row],[Vertex]],GroupVertices[Vertex],0)),1,1,"")</f>
        <v>5</v>
      </c>
      <c r="AP105" s="48">
        <v>0</v>
      </c>
      <c r="AQ105" s="49">
        <v>0</v>
      </c>
      <c r="AR105" s="48">
        <v>0</v>
      </c>
      <c r="AS105" s="49">
        <v>0</v>
      </c>
      <c r="AT105" s="48">
        <v>0</v>
      </c>
      <c r="AU105" s="49">
        <v>0</v>
      </c>
      <c r="AV105" s="48">
        <v>17</v>
      </c>
      <c r="AW105" s="49">
        <v>100</v>
      </c>
      <c r="AX105" s="48">
        <v>17</v>
      </c>
      <c r="AY105" s="48"/>
      <c r="AZ105" s="48"/>
      <c r="BA105" s="48"/>
      <c r="BB105" s="48"/>
      <c r="BC105" s="2"/>
      <c r="BD105" s="3"/>
      <c r="BE105" s="3"/>
      <c r="BF105" s="3"/>
      <c r="BG105" s="3"/>
    </row>
    <row r="106" spans="1:59" ht="15">
      <c r="A106" s="65" t="s">
        <v>327</v>
      </c>
      <c r="B106" s="66"/>
      <c r="C106" s="66"/>
      <c r="D106" s="67">
        <v>81.72638952245592</v>
      </c>
      <c r="E106" s="69"/>
      <c r="F106" s="98" t="str">
        <f>HYPERLINK("https://i.ytimg.com/vi/CfJIVZ6eui0/default.jpg")</f>
        <v>https://i.ytimg.com/vi/CfJIVZ6eui0/default.jpg</v>
      </c>
      <c r="G106" s="66"/>
      <c r="H106" s="70" t="s">
        <v>608</v>
      </c>
      <c r="I106" s="71"/>
      <c r="J106" s="71" t="s">
        <v>159</v>
      </c>
      <c r="K106" s="70" t="s">
        <v>608</v>
      </c>
      <c r="L106" s="74">
        <v>909.9090909090909</v>
      </c>
      <c r="M106" s="75">
        <v>3362.873779296875</v>
      </c>
      <c r="N106" s="75">
        <v>5692.5205078125</v>
      </c>
      <c r="O106" s="76"/>
      <c r="P106" s="77"/>
      <c r="Q106" s="77"/>
      <c r="R106" s="91"/>
      <c r="S106" s="48">
        <v>1</v>
      </c>
      <c r="T106" s="48">
        <v>0</v>
      </c>
      <c r="U106" s="49">
        <v>0</v>
      </c>
      <c r="V106" s="49">
        <v>0.000855</v>
      </c>
      <c r="W106" s="49">
        <v>0.001571</v>
      </c>
      <c r="X106" s="49">
        <v>0.404225</v>
      </c>
      <c r="Y106" s="49">
        <v>0</v>
      </c>
      <c r="Z106" s="49">
        <v>0</v>
      </c>
      <c r="AA106" s="72">
        <v>106</v>
      </c>
      <c r="AB106" s="72"/>
      <c r="AC106" s="73"/>
      <c r="AD106" s="88" t="s">
        <v>608</v>
      </c>
      <c r="AE106" s="88" t="s">
        <v>884</v>
      </c>
      <c r="AF106" s="88" t="s">
        <v>1152</v>
      </c>
      <c r="AG106" s="88" t="s">
        <v>1358</v>
      </c>
      <c r="AH106" s="88" t="s">
        <v>1527</v>
      </c>
      <c r="AI106" s="88">
        <v>16012</v>
      </c>
      <c r="AJ106" s="88">
        <v>75</v>
      </c>
      <c r="AK106" s="88">
        <v>117</v>
      </c>
      <c r="AL106" s="88">
        <v>12</v>
      </c>
      <c r="AM106" s="88" t="s">
        <v>1705</v>
      </c>
      <c r="AN106" s="100" t="str">
        <f>HYPERLINK("https://www.youtube.com/watch?v=CfJIVZ6eui0")</f>
        <v>https://www.youtube.com/watch?v=CfJIVZ6eui0</v>
      </c>
      <c r="AO106" s="88" t="str">
        <f>REPLACE(INDEX(GroupVertices[Group],MATCH(Vertices[[#This Row],[Vertex]],GroupVertices[Vertex],0)),1,1,"")</f>
        <v>5</v>
      </c>
      <c r="AP106" s="48">
        <v>0</v>
      </c>
      <c r="AQ106" s="49">
        <v>0</v>
      </c>
      <c r="AR106" s="48">
        <v>1</v>
      </c>
      <c r="AS106" s="49">
        <v>3.4482758620689653</v>
      </c>
      <c r="AT106" s="48">
        <v>0</v>
      </c>
      <c r="AU106" s="49">
        <v>0</v>
      </c>
      <c r="AV106" s="48">
        <v>28</v>
      </c>
      <c r="AW106" s="49">
        <v>96.55172413793103</v>
      </c>
      <c r="AX106" s="48">
        <v>29</v>
      </c>
      <c r="AY106" s="48"/>
      <c r="AZ106" s="48"/>
      <c r="BA106" s="48"/>
      <c r="BB106" s="48"/>
      <c r="BC106" s="2"/>
      <c r="BD106" s="3"/>
      <c r="BE106" s="3"/>
      <c r="BF106" s="3"/>
      <c r="BG106" s="3"/>
    </row>
    <row r="107" spans="1:59" ht="15">
      <c r="A107" s="65" t="s">
        <v>328</v>
      </c>
      <c r="B107" s="66"/>
      <c r="C107" s="66"/>
      <c r="D107" s="67">
        <v>129.38343298662033</v>
      </c>
      <c r="E107" s="69"/>
      <c r="F107" s="98" t="str">
        <f>HYPERLINK("https://i.ytimg.com/vi/kzZFDGvQQ4E/default.jpg")</f>
        <v>https://i.ytimg.com/vi/kzZFDGvQQ4E/default.jpg</v>
      </c>
      <c r="G107" s="66"/>
      <c r="H107" s="70" t="s">
        <v>609</v>
      </c>
      <c r="I107" s="71"/>
      <c r="J107" s="71" t="s">
        <v>159</v>
      </c>
      <c r="K107" s="70" t="s">
        <v>609</v>
      </c>
      <c r="L107" s="74">
        <v>909.9090909090909</v>
      </c>
      <c r="M107" s="75">
        <v>4598.51318359375</v>
      </c>
      <c r="N107" s="75">
        <v>6285.4228515625</v>
      </c>
      <c r="O107" s="76"/>
      <c r="P107" s="77"/>
      <c r="Q107" s="77"/>
      <c r="R107" s="91"/>
      <c r="S107" s="48">
        <v>1</v>
      </c>
      <c r="T107" s="48">
        <v>0</v>
      </c>
      <c r="U107" s="49">
        <v>0</v>
      </c>
      <c r="V107" s="49">
        <v>0.000855</v>
      </c>
      <c r="W107" s="49">
        <v>0.001571</v>
      </c>
      <c r="X107" s="49">
        <v>0.404225</v>
      </c>
      <c r="Y107" s="49">
        <v>0</v>
      </c>
      <c r="Z107" s="49">
        <v>0</v>
      </c>
      <c r="AA107" s="72">
        <v>107</v>
      </c>
      <c r="AB107" s="72"/>
      <c r="AC107" s="73"/>
      <c r="AD107" s="88" t="s">
        <v>609</v>
      </c>
      <c r="AE107" s="88" t="s">
        <v>885</v>
      </c>
      <c r="AF107" s="88" t="s">
        <v>1157</v>
      </c>
      <c r="AG107" s="88" t="s">
        <v>1355</v>
      </c>
      <c r="AH107" s="88" t="s">
        <v>1528</v>
      </c>
      <c r="AI107" s="88">
        <v>455705</v>
      </c>
      <c r="AJ107" s="88">
        <v>2628</v>
      </c>
      <c r="AK107" s="88">
        <v>5576</v>
      </c>
      <c r="AL107" s="88">
        <v>233</v>
      </c>
      <c r="AM107" s="88" t="s">
        <v>1705</v>
      </c>
      <c r="AN107" s="100" t="str">
        <f>HYPERLINK("https://www.youtube.com/watch?v=kzZFDGvQQ4E")</f>
        <v>https://www.youtube.com/watch?v=kzZFDGvQQ4E</v>
      </c>
      <c r="AO107" s="88" t="str">
        <f>REPLACE(INDEX(GroupVertices[Group],MATCH(Vertices[[#This Row],[Vertex]],GroupVertices[Vertex],0)),1,1,"")</f>
        <v>5</v>
      </c>
      <c r="AP107" s="48">
        <v>2</v>
      </c>
      <c r="AQ107" s="49">
        <v>3.1746031746031744</v>
      </c>
      <c r="AR107" s="48">
        <v>5</v>
      </c>
      <c r="AS107" s="49">
        <v>7.936507936507937</v>
      </c>
      <c r="AT107" s="48">
        <v>0</v>
      </c>
      <c r="AU107" s="49">
        <v>0</v>
      </c>
      <c r="AV107" s="48">
        <v>56</v>
      </c>
      <c r="AW107" s="49">
        <v>88.88888888888889</v>
      </c>
      <c r="AX107" s="48">
        <v>63</v>
      </c>
      <c r="AY107" s="48"/>
      <c r="AZ107" s="48"/>
      <c r="BA107" s="48"/>
      <c r="BB107" s="48"/>
      <c r="BC107" s="2"/>
      <c r="BD107" s="3"/>
      <c r="BE107" s="3"/>
      <c r="BF107" s="3"/>
      <c r="BG107" s="3"/>
    </row>
    <row r="108" spans="1:59" ht="15">
      <c r="A108" s="65" t="s">
        <v>329</v>
      </c>
      <c r="B108" s="66"/>
      <c r="C108" s="66"/>
      <c r="D108" s="67">
        <v>183.85141261361792</v>
      </c>
      <c r="E108" s="69"/>
      <c r="F108" s="98" t="str">
        <f>HYPERLINK("https://i.ytimg.com/vi/7_HxdCHqFiU/default.jpg")</f>
        <v>https://i.ytimg.com/vi/7_HxdCHqFiU/default.jpg</v>
      </c>
      <c r="G108" s="66"/>
      <c r="H108" s="70" t="s">
        <v>610</v>
      </c>
      <c r="I108" s="71"/>
      <c r="J108" s="71" t="s">
        <v>159</v>
      </c>
      <c r="K108" s="70" t="s">
        <v>610</v>
      </c>
      <c r="L108" s="74">
        <v>909.9090909090909</v>
      </c>
      <c r="M108" s="75">
        <v>3810.03466796875</v>
      </c>
      <c r="N108" s="75">
        <v>6380.0390625</v>
      </c>
      <c r="O108" s="76"/>
      <c r="P108" s="77"/>
      <c r="Q108" s="77"/>
      <c r="R108" s="91"/>
      <c r="S108" s="48">
        <v>1</v>
      </c>
      <c r="T108" s="48">
        <v>0</v>
      </c>
      <c r="U108" s="49">
        <v>0</v>
      </c>
      <c r="V108" s="49">
        <v>0.000855</v>
      </c>
      <c r="W108" s="49">
        <v>0.001571</v>
      </c>
      <c r="X108" s="49">
        <v>0.404225</v>
      </c>
      <c r="Y108" s="49">
        <v>0</v>
      </c>
      <c r="Z108" s="49">
        <v>0</v>
      </c>
      <c r="AA108" s="72">
        <v>108</v>
      </c>
      <c r="AB108" s="72"/>
      <c r="AC108" s="73"/>
      <c r="AD108" s="88" t="s">
        <v>610</v>
      </c>
      <c r="AE108" s="88" t="s">
        <v>886</v>
      </c>
      <c r="AF108" s="88" t="s">
        <v>1158</v>
      </c>
      <c r="AG108" s="88" t="s">
        <v>1361</v>
      </c>
      <c r="AH108" s="88" t="s">
        <v>1529</v>
      </c>
      <c r="AI108" s="88">
        <v>958237</v>
      </c>
      <c r="AJ108" s="88">
        <v>4519</v>
      </c>
      <c r="AK108" s="88">
        <v>25881</v>
      </c>
      <c r="AL108" s="88">
        <v>604</v>
      </c>
      <c r="AM108" s="88" t="s">
        <v>1705</v>
      </c>
      <c r="AN108" s="100" t="str">
        <f>HYPERLINK("https://www.youtube.com/watch?v=7_HxdCHqFiU")</f>
        <v>https://www.youtube.com/watch?v=7_HxdCHqFiU</v>
      </c>
      <c r="AO108" s="88" t="str">
        <f>REPLACE(INDEX(GroupVertices[Group],MATCH(Vertices[[#This Row],[Vertex]],GroupVertices[Vertex],0)),1,1,"")</f>
        <v>5</v>
      </c>
      <c r="AP108" s="48">
        <v>2</v>
      </c>
      <c r="AQ108" s="49">
        <v>2.898550724637681</v>
      </c>
      <c r="AR108" s="48">
        <v>5</v>
      </c>
      <c r="AS108" s="49">
        <v>7.246376811594203</v>
      </c>
      <c r="AT108" s="48">
        <v>0</v>
      </c>
      <c r="AU108" s="49">
        <v>0</v>
      </c>
      <c r="AV108" s="48">
        <v>62</v>
      </c>
      <c r="AW108" s="49">
        <v>89.85507246376811</v>
      </c>
      <c r="AX108" s="48">
        <v>69</v>
      </c>
      <c r="AY108" s="48"/>
      <c r="AZ108" s="48"/>
      <c r="BA108" s="48"/>
      <c r="BB108" s="48"/>
      <c r="BC108" s="2"/>
      <c r="BD108" s="3"/>
      <c r="BE108" s="3"/>
      <c r="BF108" s="3"/>
      <c r="BG108" s="3"/>
    </row>
    <row r="109" spans="1:59" ht="15">
      <c r="A109" s="65" t="s">
        <v>330</v>
      </c>
      <c r="B109" s="66"/>
      <c r="C109" s="66"/>
      <c r="D109" s="67">
        <v>130.1087593731268</v>
      </c>
      <c r="E109" s="69"/>
      <c r="F109" s="98" t="str">
        <f>HYPERLINK("https://i.ytimg.com/vi/v_bfQoxexr8/default.jpg")</f>
        <v>https://i.ytimg.com/vi/v_bfQoxexr8/default.jpg</v>
      </c>
      <c r="G109" s="66"/>
      <c r="H109" s="70" t="s">
        <v>611</v>
      </c>
      <c r="I109" s="71"/>
      <c r="J109" s="71" t="s">
        <v>75</v>
      </c>
      <c r="K109" s="70" t="s">
        <v>611</v>
      </c>
      <c r="L109" s="74">
        <v>1818.8181818181818</v>
      </c>
      <c r="M109" s="75">
        <v>7876.06982421875</v>
      </c>
      <c r="N109" s="75">
        <v>4580.60693359375</v>
      </c>
      <c r="O109" s="76"/>
      <c r="P109" s="77"/>
      <c r="Q109" s="77"/>
      <c r="R109" s="91"/>
      <c r="S109" s="48">
        <v>2</v>
      </c>
      <c r="T109" s="48">
        <v>0</v>
      </c>
      <c r="U109" s="49">
        <v>10360</v>
      </c>
      <c r="V109" s="49">
        <v>0.000885</v>
      </c>
      <c r="W109" s="49">
        <v>0.001591</v>
      </c>
      <c r="X109" s="49">
        <v>0.798836</v>
      </c>
      <c r="Y109" s="49">
        <v>0</v>
      </c>
      <c r="Z109" s="49">
        <v>0</v>
      </c>
      <c r="AA109" s="72">
        <v>109</v>
      </c>
      <c r="AB109" s="72"/>
      <c r="AC109" s="73"/>
      <c r="AD109" s="88" t="s">
        <v>611</v>
      </c>
      <c r="AE109" s="88" t="s">
        <v>887</v>
      </c>
      <c r="AF109" s="88" t="s">
        <v>1159</v>
      </c>
      <c r="AG109" s="88" t="s">
        <v>1359</v>
      </c>
      <c r="AH109" s="88" t="s">
        <v>1530</v>
      </c>
      <c r="AI109" s="88">
        <v>462397</v>
      </c>
      <c r="AJ109" s="88">
        <v>3686</v>
      </c>
      <c r="AK109" s="88">
        <v>18378</v>
      </c>
      <c r="AL109" s="88">
        <v>378</v>
      </c>
      <c r="AM109" s="88" t="s">
        <v>1705</v>
      </c>
      <c r="AN109" s="100" t="str">
        <f>HYPERLINK("https://www.youtube.com/watch?v=v_bfQoxexr8")</f>
        <v>https://www.youtube.com/watch?v=v_bfQoxexr8</v>
      </c>
      <c r="AO109" s="88" t="str">
        <f>REPLACE(INDEX(GroupVertices[Group],MATCH(Vertices[[#This Row],[Vertex]],GroupVertices[Vertex],0)),1,1,"")</f>
        <v>6</v>
      </c>
      <c r="AP109" s="48">
        <v>0</v>
      </c>
      <c r="AQ109" s="49">
        <v>0</v>
      </c>
      <c r="AR109" s="48">
        <v>3</v>
      </c>
      <c r="AS109" s="49">
        <v>4.761904761904762</v>
      </c>
      <c r="AT109" s="48">
        <v>0</v>
      </c>
      <c r="AU109" s="49">
        <v>0</v>
      </c>
      <c r="AV109" s="48">
        <v>60</v>
      </c>
      <c r="AW109" s="49">
        <v>95.23809523809524</v>
      </c>
      <c r="AX109" s="48">
        <v>63</v>
      </c>
      <c r="AY109" s="48"/>
      <c r="AZ109" s="48"/>
      <c r="BA109" s="48"/>
      <c r="BB109" s="48"/>
      <c r="BC109" s="2"/>
      <c r="BD109" s="3"/>
      <c r="BE109" s="3"/>
      <c r="BF109" s="3"/>
      <c r="BG109" s="3"/>
    </row>
    <row r="110" spans="1:59" ht="15">
      <c r="A110" s="65" t="s">
        <v>331</v>
      </c>
      <c r="B110" s="66"/>
      <c r="C110" s="66"/>
      <c r="D110" s="67">
        <v>152.8489121706446</v>
      </c>
      <c r="E110" s="69"/>
      <c r="F110" s="98" t="str">
        <f>HYPERLINK("https://i.ytimg.com/vi/AFA8u_8bx_I/default.jpg")</f>
        <v>https://i.ytimg.com/vi/AFA8u_8bx_I/default.jpg</v>
      </c>
      <c r="G110" s="66"/>
      <c r="H110" s="70" t="s">
        <v>612</v>
      </c>
      <c r="I110" s="71"/>
      <c r="J110" s="71" t="s">
        <v>75</v>
      </c>
      <c r="K110" s="70" t="s">
        <v>612</v>
      </c>
      <c r="L110" s="74">
        <v>1818.8181818181818</v>
      </c>
      <c r="M110" s="75">
        <v>3322.38525390625</v>
      </c>
      <c r="N110" s="75">
        <v>5220.46142578125</v>
      </c>
      <c r="O110" s="76"/>
      <c r="P110" s="77"/>
      <c r="Q110" s="77"/>
      <c r="R110" s="91"/>
      <c r="S110" s="48">
        <v>2</v>
      </c>
      <c r="T110" s="48">
        <v>0</v>
      </c>
      <c r="U110" s="49">
        <v>359.321297</v>
      </c>
      <c r="V110" s="49">
        <v>0.000923</v>
      </c>
      <c r="W110" s="49">
        <v>0.003624</v>
      </c>
      <c r="X110" s="49">
        <v>0.636431</v>
      </c>
      <c r="Y110" s="49">
        <v>0</v>
      </c>
      <c r="Z110" s="49">
        <v>0</v>
      </c>
      <c r="AA110" s="72">
        <v>110</v>
      </c>
      <c r="AB110" s="72"/>
      <c r="AC110" s="73"/>
      <c r="AD110" s="88" t="s">
        <v>612</v>
      </c>
      <c r="AE110" s="88" t="s">
        <v>888</v>
      </c>
      <c r="AF110" s="88" t="s">
        <v>1160</v>
      </c>
      <c r="AG110" s="88" t="s">
        <v>1360</v>
      </c>
      <c r="AH110" s="88" t="s">
        <v>1531</v>
      </c>
      <c r="AI110" s="88">
        <v>672202</v>
      </c>
      <c r="AJ110" s="88">
        <v>4791</v>
      </c>
      <c r="AK110" s="88">
        <v>8093</v>
      </c>
      <c r="AL110" s="88">
        <v>985</v>
      </c>
      <c r="AM110" s="88" t="s">
        <v>1705</v>
      </c>
      <c r="AN110" s="100" t="str">
        <f>HYPERLINK("https://www.youtube.com/watch?v=AFA8u_8bx_I")</f>
        <v>https://www.youtube.com/watch?v=AFA8u_8bx_I</v>
      </c>
      <c r="AO110" s="88" t="str">
        <f>REPLACE(INDEX(GroupVertices[Group],MATCH(Vertices[[#This Row],[Vertex]],GroupVertices[Vertex],0)),1,1,"")</f>
        <v>5</v>
      </c>
      <c r="AP110" s="48">
        <v>0</v>
      </c>
      <c r="AQ110" s="49">
        <v>0</v>
      </c>
      <c r="AR110" s="48">
        <v>0</v>
      </c>
      <c r="AS110" s="49">
        <v>0</v>
      </c>
      <c r="AT110" s="48">
        <v>0</v>
      </c>
      <c r="AU110" s="49">
        <v>0</v>
      </c>
      <c r="AV110" s="48">
        <v>22</v>
      </c>
      <c r="AW110" s="49">
        <v>100</v>
      </c>
      <c r="AX110" s="48">
        <v>22</v>
      </c>
      <c r="AY110" s="48"/>
      <c r="AZ110" s="48"/>
      <c r="BA110" s="48"/>
      <c r="BB110" s="48"/>
      <c r="BC110" s="2"/>
      <c r="BD110" s="3"/>
      <c r="BE110" s="3"/>
      <c r="BF110" s="3"/>
      <c r="BG110" s="3"/>
    </row>
    <row r="111" spans="1:59" ht="15">
      <c r="A111" s="65" t="s">
        <v>221</v>
      </c>
      <c r="B111" s="66"/>
      <c r="C111" s="66"/>
      <c r="D111" s="67">
        <v>83.67540612170268</v>
      </c>
      <c r="E111" s="69"/>
      <c r="F111" s="98" t="str">
        <f>HYPERLINK("https://i.ytimg.com/vi/Nqq8TT0KUXU/default.jpg")</f>
        <v>https://i.ytimg.com/vi/Nqq8TT0KUXU/default.jpg</v>
      </c>
      <c r="G111" s="66"/>
      <c r="H111" s="70" t="s">
        <v>613</v>
      </c>
      <c r="I111" s="71"/>
      <c r="J111" s="71" t="s">
        <v>159</v>
      </c>
      <c r="K111" s="70" t="s">
        <v>613</v>
      </c>
      <c r="L111" s="74">
        <v>1</v>
      </c>
      <c r="M111" s="75">
        <v>2058.026123046875</v>
      </c>
      <c r="N111" s="75">
        <v>2763.49169921875</v>
      </c>
      <c r="O111" s="76"/>
      <c r="P111" s="77"/>
      <c r="Q111" s="77"/>
      <c r="R111" s="91"/>
      <c r="S111" s="48">
        <v>0</v>
      </c>
      <c r="T111" s="48">
        <v>20</v>
      </c>
      <c r="U111" s="49">
        <v>13058.355905</v>
      </c>
      <c r="V111" s="49">
        <v>0.001093</v>
      </c>
      <c r="W111" s="49">
        <v>0.03033</v>
      </c>
      <c r="X111" s="49">
        <v>4.829386</v>
      </c>
      <c r="Y111" s="49">
        <v>0.04473684210526316</v>
      </c>
      <c r="Z111" s="49">
        <v>0</v>
      </c>
      <c r="AA111" s="72">
        <v>111</v>
      </c>
      <c r="AB111" s="72"/>
      <c r="AC111" s="73"/>
      <c r="AD111" s="88" t="s">
        <v>613</v>
      </c>
      <c r="AE111" s="88" t="s">
        <v>889</v>
      </c>
      <c r="AF111" s="88" t="s">
        <v>1161</v>
      </c>
      <c r="AG111" s="88" t="s">
        <v>1362</v>
      </c>
      <c r="AH111" s="88" t="s">
        <v>1532</v>
      </c>
      <c r="AI111" s="88">
        <v>33994</v>
      </c>
      <c r="AJ111" s="88">
        <v>159</v>
      </c>
      <c r="AK111" s="88">
        <v>144</v>
      </c>
      <c r="AL111" s="88">
        <v>240</v>
      </c>
      <c r="AM111" s="88" t="s">
        <v>1705</v>
      </c>
      <c r="AN111" s="100" t="str">
        <f>HYPERLINK("https://www.youtube.com/watch?v=Nqq8TT0KUXU")</f>
        <v>https://www.youtube.com/watch?v=Nqq8TT0KUXU</v>
      </c>
      <c r="AO111" s="88" t="str">
        <f>REPLACE(INDEX(GroupVertices[Group],MATCH(Vertices[[#This Row],[Vertex]],GroupVertices[Vertex],0)),1,1,"")</f>
        <v>2</v>
      </c>
      <c r="AP111" s="48">
        <v>1</v>
      </c>
      <c r="AQ111" s="49">
        <v>1.5873015873015872</v>
      </c>
      <c r="AR111" s="48">
        <v>1</v>
      </c>
      <c r="AS111" s="49">
        <v>1.5873015873015872</v>
      </c>
      <c r="AT111" s="48">
        <v>0</v>
      </c>
      <c r="AU111" s="49">
        <v>0</v>
      </c>
      <c r="AV111" s="48">
        <v>61</v>
      </c>
      <c r="AW111" s="49">
        <v>96.82539682539682</v>
      </c>
      <c r="AX111" s="48">
        <v>63</v>
      </c>
      <c r="AY111" s="121" t="s">
        <v>2747</v>
      </c>
      <c r="AZ111" s="121" t="s">
        <v>2747</v>
      </c>
      <c r="BA111" s="121" t="s">
        <v>2747</v>
      </c>
      <c r="BB111" s="121" t="s">
        <v>2747</v>
      </c>
      <c r="BC111" s="2"/>
      <c r="BD111" s="3"/>
      <c r="BE111" s="3"/>
      <c r="BF111" s="3"/>
      <c r="BG111" s="3"/>
    </row>
    <row r="112" spans="1:59" ht="15">
      <c r="A112" s="65" t="s">
        <v>332</v>
      </c>
      <c r="B112" s="66"/>
      <c r="C112" s="66"/>
      <c r="D112" s="67">
        <v>80.17688772605776</v>
      </c>
      <c r="E112" s="69"/>
      <c r="F112" s="98" t="str">
        <f>HYPERLINK("https://i.ytimg.com/vi/iNaBuDty428/default.jpg")</f>
        <v>https://i.ytimg.com/vi/iNaBuDty428/default.jpg</v>
      </c>
      <c r="G112" s="66"/>
      <c r="H112" s="70" t="s">
        <v>614</v>
      </c>
      <c r="I112" s="71"/>
      <c r="J112" s="71" t="s">
        <v>159</v>
      </c>
      <c r="K112" s="70" t="s">
        <v>614</v>
      </c>
      <c r="L112" s="74">
        <v>909.9090909090909</v>
      </c>
      <c r="M112" s="75">
        <v>3076.29931640625</v>
      </c>
      <c r="N112" s="75">
        <v>3397.85546875</v>
      </c>
      <c r="O112" s="76"/>
      <c r="P112" s="77"/>
      <c r="Q112" s="77"/>
      <c r="R112" s="91"/>
      <c r="S112" s="48">
        <v>1</v>
      </c>
      <c r="T112" s="48">
        <v>0</v>
      </c>
      <c r="U112" s="49">
        <v>0</v>
      </c>
      <c r="V112" s="49">
        <v>0.000838</v>
      </c>
      <c r="W112" s="49">
        <v>0.003054</v>
      </c>
      <c r="X112" s="49">
        <v>0.355249</v>
      </c>
      <c r="Y112" s="49">
        <v>0</v>
      </c>
      <c r="Z112" s="49">
        <v>0</v>
      </c>
      <c r="AA112" s="72">
        <v>112</v>
      </c>
      <c r="AB112" s="72"/>
      <c r="AC112" s="73"/>
      <c r="AD112" s="88" t="s">
        <v>614</v>
      </c>
      <c r="AE112" s="88" t="s">
        <v>890</v>
      </c>
      <c r="AF112" s="88" t="s">
        <v>1162</v>
      </c>
      <c r="AG112" s="88" t="s">
        <v>1363</v>
      </c>
      <c r="AH112" s="88" t="s">
        <v>1533</v>
      </c>
      <c r="AI112" s="88">
        <v>1716</v>
      </c>
      <c r="AJ112" s="88">
        <v>8</v>
      </c>
      <c r="AK112" s="88">
        <v>21</v>
      </c>
      <c r="AL112" s="88">
        <v>2</v>
      </c>
      <c r="AM112" s="88" t="s">
        <v>1705</v>
      </c>
      <c r="AN112" s="100" t="str">
        <f>HYPERLINK("https://www.youtube.com/watch?v=iNaBuDty428")</f>
        <v>https://www.youtube.com/watch?v=iNaBuDty428</v>
      </c>
      <c r="AO112" s="88" t="str">
        <f>REPLACE(INDEX(GroupVertices[Group],MATCH(Vertices[[#This Row],[Vertex]],GroupVertices[Vertex],0)),1,1,"")</f>
        <v>2</v>
      </c>
      <c r="AP112" s="48">
        <v>0</v>
      </c>
      <c r="AQ112" s="49">
        <v>0</v>
      </c>
      <c r="AR112" s="48">
        <v>0</v>
      </c>
      <c r="AS112" s="49">
        <v>0</v>
      </c>
      <c r="AT112" s="48">
        <v>0</v>
      </c>
      <c r="AU112" s="49">
        <v>0</v>
      </c>
      <c r="AV112" s="48">
        <v>3</v>
      </c>
      <c r="AW112" s="49">
        <v>100</v>
      </c>
      <c r="AX112" s="48">
        <v>3</v>
      </c>
      <c r="AY112" s="48"/>
      <c r="AZ112" s="48"/>
      <c r="BA112" s="48"/>
      <c r="BB112" s="48"/>
      <c r="BC112" s="2"/>
      <c r="BD112" s="3"/>
      <c r="BE112" s="3"/>
      <c r="BF112" s="3"/>
      <c r="BG112" s="3"/>
    </row>
    <row r="113" spans="1:59" ht="15">
      <c r="A113" s="65" t="s">
        <v>333</v>
      </c>
      <c r="B113" s="66"/>
      <c r="C113" s="66"/>
      <c r="D113" s="67">
        <v>81.81353274044027</v>
      </c>
      <c r="E113" s="69"/>
      <c r="F113" s="98" t="str">
        <f>HYPERLINK("https://i.ytimg.com/vi/EYLAfsJLPQA/default.jpg")</f>
        <v>https://i.ytimg.com/vi/EYLAfsJLPQA/default.jpg</v>
      </c>
      <c r="G113" s="66"/>
      <c r="H113" s="70" t="s">
        <v>615</v>
      </c>
      <c r="I113" s="71"/>
      <c r="J113" s="71" t="s">
        <v>159</v>
      </c>
      <c r="K113" s="70" t="s">
        <v>615</v>
      </c>
      <c r="L113" s="74">
        <v>909.9090909090909</v>
      </c>
      <c r="M113" s="75">
        <v>3216.23876953125</v>
      </c>
      <c r="N113" s="75">
        <v>2992.770751953125</v>
      </c>
      <c r="O113" s="76"/>
      <c r="P113" s="77"/>
      <c r="Q113" s="77"/>
      <c r="R113" s="91"/>
      <c r="S113" s="48">
        <v>1</v>
      </c>
      <c r="T113" s="48">
        <v>0</v>
      </c>
      <c r="U113" s="49">
        <v>0</v>
      </c>
      <c r="V113" s="49">
        <v>0.000838</v>
      </c>
      <c r="W113" s="49">
        <v>0.003054</v>
      </c>
      <c r="X113" s="49">
        <v>0.355249</v>
      </c>
      <c r="Y113" s="49">
        <v>0</v>
      </c>
      <c r="Z113" s="49">
        <v>0</v>
      </c>
      <c r="AA113" s="72">
        <v>113</v>
      </c>
      <c r="AB113" s="72"/>
      <c r="AC113" s="73"/>
      <c r="AD113" s="88" t="s">
        <v>615</v>
      </c>
      <c r="AE113" s="88" t="s">
        <v>891</v>
      </c>
      <c r="AF113" s="88" t="s">
        <v>1163</v>
      </c>
      <c r="AG113" s="88" t="s">
        <v>1364</v>
      </c>
      <c r="AH113" s="88" t="s">
        <v>1534</v>
      </c>
      <c r="AI113" s="88">
        <v>16816</v>
      </c>
      <c r="AJ113" s="88">
        <v>0</v>
      </c>
      <c r="AK113" s="88">
        <v>208</v>
      </c>
      <c r="AL113" s="88">
        <v>44</v>
      </c>
      <c r="AM113" s="88" t="s">
        <v>1705</v>
      </c>
      <c r="AN113" s="100" t="str">
        <f>HYPERLINK("https://www.youtube.com/watch?v=EYLAfsJLPQA")</f>
        <v>https://www.youtube.com/watch?v=EYLAfsJLPQA</v>
      </c>
      <c r="AO113" s="88" t="str">
        <f>REPLACE(INDEX(GroupVertices[Group],MATCH(Vertices[[#This Row],[Vertex]],GroupVertices[Vertex],0)),1,1,"")</f>
        <v>2</v>
      </c>
      <c r="AP113" s="48">
        <v>0</v>
      </c>
      <c r="AQ113" s="49">
        <v>0</v>
      </c>
      <c r="AR113" s="48">
        <v>0</v>
      </c>
      <c r="AS113" s="49">
        <v>0</v>
      </c>
      <c r="AT113" s="48">
        <v>0</v>
      </c>
      <c r="AU113" s="49">
        <v>0</v>
      </c>
      <c r="AV113" s="48">
        <v>29</v>
      </c>
      <c r="AW113" s="49">
        <v>100</v>
      </c>
      <c r="AX113" s="48">
        <v>29</v>
      </c>
      <c r="AY113" s="48"/>
      <c r="AZ113" s="48"/>
      <c r="BA113" s="48"/>
      <c r="BB113" s="48"/>
      <c r="BC113" s="2"/>
      <c r="BD113" s="3"/>
      <c r="BE113" s="3"/>
      <c r="BF113" s="3"/>
      <c r="BG113" s="3"/>
    </row>
    <row r="114" spans="1:59" ht="15">
      <c r="A114" s="65" t="s">
        <v>334</v>
      </c>
      <c r="B114" s="66"/>
      <c r="C114" s="66"/>
      <c r="D114" s="67">
        <v>88.88882500857672</v>
      </c>
      <c r="E114" s="69"/>
      <c r="F114" s="98" t="str">
        <f>HYPERLINK("https://i.ytimg.com/vi/J_y_i8tvkb4/default.jpg")</f>
        <v>https://i.ytimg.com/vi/J_y_i8tvkb4/default.jpg</v>
      </c>
      <c r="G114" s="66"/>
      <c r="H114" s="70" t="s">
        <v>616</v>
      </c>
      <c r="I114" s="71"/>
      <c r="J114" s="71" t="s">
        <v>159</v>
      </c>
      <c r="K114" s="70" t="s">
        <v>616</v>
      </c>
      <c r="L114" s="74">
        <v>909.9090909090909</v>
      </c>
      <c r="M114" s="75">
        <v>2885.778076171875</v>
      </c>
      <c r="N114" s="75">
        <v>3746.22900390625</v>
      </c>
      <c r="O114" s="76"/>
      <c r="P114" s="77"/>
      <c r="Q114" s="77"/>
      <c r="R114" s="91"/>
      <c r="S114" s="48">
        <v>1</v>
      </c>
      <c r="T114" s="48">
        <v>0</v>
      </c>
      <c r="U114" s="49">
        <v>0</v>
      </c>
      <c r="V114" s="49">
        <v>0.000838</v>
      </c>
      <c r="W114" s="49">
        <v>0.003054</v>
      </c>
      <c r="X114" s="49">
        <v>0.355249</v>
      </c>
      <c r="Y114" s="49">
        <v>0</v>
      </c>
      <c r="Z114" s="49">
        <v>0</v>
      </c>
      <c r="AA114" s="72">
        <v>114</v>
      </c>
      <c r="AB114" s="72"/>
      <c r="AC114" s="73"/>
      <c r="AD114" s="88" t="s">
        <v>616</v>
      </c>
      <c r="AE114" s="88" t="s">
        <v>892</v>
      </c>
      <c r="AF114" s="88" t="s">
        <v>1164</v>
      </c>
      <c r="AG114" s="88" t="s">
        <v>1365</v>
      </c>
      <c r="AH114" s="88" t="s">
        <v>1535</v>
      </c>
      <c r="AI114" s="88">
        <v>82094</v>
      </c>
      <c r="AJ114" s="88">
        <v>540</v>
      </c>
      <c r="AK114" s="88">
        <v>1004</v>
      </c>
      <c r="AL114" s="88">
        <v>121</v>
      </c>
      <c r="AM114" s="88" t="s">
        <v>1705</v>
      </c>
      <c r="AN114" s="100" t="str">
        <f>HYPERLINK("https://www.youtube.com/watch?v=J_y_i8tvkb4")</f>
        <v>https://www.youtube.com/watch?v=J_y_i8tvkb4</v>
      </c>
      <c r="AO114" s="88" t="str">
        <f>REPLACE(INDEX(GroupVertices[Group],MATCH(Vertices[[#This Row],[Vertex]],GroupVertices[Vertex],0)),1,1,"")</f>
        <v>2</v>
      </c>
      <c r="AP114" s="48">
        <v>0</v>
      </c>
      <c r="AQ114" s="49">
        <v>0</v>
      </c>
      <c r="AR114" s="48">
        <v>3</v>
      </c>
      <c r="AS114" s="49">
        <v>4.545454545454546</v>
      </c>
      <c r="AT114" s="48">
        <v>0</v>
      </c>
      <c r="AU114" s="49">
        <v>0</v>
      </c>
      <c r="AV114" s="48">
        <v>63</v>
      </c>
      <c r="AW114" s="49">
        <v>95.45454545454545</v>
      </c>
      <c r="AX114" s="48">
        <v>66</v>
      </c>
      <c r="AY114" s="48"/>
      <c r="AZ114" s="48"/>
      <c r="BA114" s="48"/>
      <c r="BB114" s="48"/>
      <c r="BC114" s="2"/>
      <c r="BD114" s="3"/>
      <c r="BE114" s="3"/>
      <c r="BF114" s="3"/>
      <c r="BG114" s="3"/>
    </row>
    <row r="115" spans="1:59" ht="15">
      <c r="A115" s="65" t="s">
        <v>335</v>
      </c>
      <c r="B115" s="66"/>
      <c r="C115" s="66"/>
      <c r="D115" s="67">
        <v>94.26309033262584</v>
      </c>
      <c r="E115" s="69"/>
      <c r="F115" s="98" t="str">
        <f>HYPERLINK("https://i.ytimg.com/vi/E2y5v6vJCso/default.jpg")</f>
        <v>https://i.ytimg.com/vi/E2y5v6vJCso/default.jpg</v>
      </c>
      <c r="G115" s="66"/>
      <c r="H115" s="70" t="s">
        <v>617</v>
      </c>
      <c r="I115" s="71"/>
      <c r="J115" s="71" t="s">
        <v>75</v>
      </c>
      <c r="K115" s="70" t="s">
        <v>617</v>
      </c>
      <c r="L115" s="74">
        <v>1818.8181818181818</v>
      </c>
      <c r="M115" s="75">
        <v>5628.78173828125</v>
      </c>
      <c r="N115" s="75">
        <v>1951.365234375</v>
      </c>
      <c r="O115" s="76"/>
      <c r="P115" s="77"/>
      <c r="Q115" s="77"/>
      <c r="R115" s="91"/>
      <c r="S115" s="48">
        <v>2</v>
      </c>
      <c r="T115" s="48">
        <v>0</v>
      </c>
      <c r="U115" s="49">
        <v>10360</v>
      </c>
      <c r="V115" s="49">
        <v>0.000867</v>
      </c>
      <c r="W115" s="49">
        <v>0.003093</v>
      </c>
      <c r="X115" s="49">
        <v>0.746867</v>
      </c>
      <c r="Y115" s="49">
        <v>0</v>
      </c>
      <c r="Z115" s="49">
        <v>0</v>
      </c>
      <c r="AA115" s="72">
        <v>115</v>
      </c>
      <c r="AB115" s="72"/>
      <c r="AC115" s="73"/>
      <c r="AD115" s="88" t="s">
        <v>617</v>
      </c>
      <c r="AE115" s="88" t="s">
        <v>893</v>
      </c>
      <c r="AF115" s="88"/>
      <c r="AG115" s="88" t="s">
        <v>1366</v>
      </c>
      <c r="AH115" s="88" t="s">
        <v>1536</v>
      </c>
      <c r="AI115" s="88">
        <v>131678</v>
      </c>
      <c r="AJ115" s="88">
        <v>1759</v>
      </c>
      <c r="AK115" s="88">
        <v>6056</v>
      </c>
      <c r="AL115" s="88">
        <v>106</v>
      </c>
      <c r="AM115" s="88" t="s">
        <v>1705</v>
      </c>
      <c r="AN115" s="100" t="str">
        <f>HYPERLINK("https://www.youtube.com/watch?v=E2y5v6vJCso")</f>
        <v>https://www.youtube.com/watch?v=E2y5v6vJCso</v>
      </c>
      <c r="AO115" s="88" t="str">
        <f>REPLACE(INDEX(GroupVertices[Group],MATCH(Vertices[[#This Row],[Vertex]],GroupVertices[Vertex],0)),1,1,"")</f>
        <v>8</v>
      </c>
      <c r="AP115" s="48"/>
      <c r="AQ115" s="49"/>
      <c r="AR115" s="48"/>
      <c r="AS115" s="49"/>
      <c r="AT115" s="48"/>
      <c r="AU115" s="49"/>
      <c r="AV115" s="48"/>
      <c r="AW115" s="49"/>
      <c r="AX115" s="48"/>
      <c r="AY115" s="48"/>
      <c r="AZ115" s="48"/>
      <c r="BA115" s="48"/>
      <c r="BB115" s="48"/>
      <c r="BC115" s="2"/>
      <c r="BD115" s="3"/>
      <c r="BE115" s="3"/>
      <c r="BF115" s="3"/>
      <c r="BG115" s="3"/>
    </row>
    <row r="116" spans="1:59" ht="15">
      <c r="A116" s="65" t="s">
        <v>336</v>
      </c>
      <c r="B116" s="66"/>
      <c r="C116" s="66"/>
      <c r="D116" s="67">
        <v>82.02553788270066</v>
      </c>
      <c r="E116" s="69"/>
      <c r="F116" s="98" t="str">
        <f>HYPERLINK("https://i.ytimg.com/vi/XHoAe-3qUh4/default.jpg")</f>
        <v>https://i.ytimg.com/vi/XHoAe-3qUh4/default.jpg</v>
      </c>
      <c r="G116" s="66"/>
      <c r="H116" s="70" t="s">
        <v>618</v>
      </c>
      <c r="I116" s="71"/>
      <c r="J116" s="71" t="s">
        <v>75</v>
      </c>
      <c r="K116" s="70" t="s">
        <v>618</v>
      </c>
      <c r="L116" s="74">
        <v>1818.8181818181818</v>
      </c>
      <c r="M116" s="75">
        <v>2694.717041015625</v>
      </c>
      <c r="N116" s="75">
        <v>2259.741943359375</v>
      </c>
      <c r="O116" s="76"/>
      <c r="P116" s="77"/>
      <c r="Q116" s="77"/>
      <c r="R116" s="91"/>
      <c r="S116" s="48">
        <v>2</v>
      </c>
      <c r="T116" s="48">
        <v>0</v>
      </c>
      <c r="U116" s="49">
        <v>0</v>
      </c>
      <c r="V116" s="49">
        <v>0.000929</v>
      </c>
      <c r="W116" s="49">
        <v>0.006944</v>
      </c>
      <c r="X116" s="49">
        <v>0.565649</v>
      </c>
      <c r="Y116" s="49">
        <v>0.5</v>
      </c>
      <c r="Z116" s="49">
        <v>0</v>
      </c>
      <c r="AA116" s="72">
        <v>116</v>
      </c>
      <c r="AB116" s="72"/>
      <c r="AC116" s="73"/>
      <c r="AD116" s="88" t="s">
        <v>618</v>
      </c>
      <c r="AE116" s="88" t="s">
        <v>894</v>
      </c>
      <c r="AF116" s="88" t="s">
        <v>1165</v>
      </c>
      <c r="AG116" s="88" t="s">
        <v>1358</v>
      </c>
      <c r="AH116" s="88" t="s">
        <v>1537</v>
      </c>
      <c r="AI116" s="88">
        <v>18772</v>
      </c>
      <c r="AJ116" s="88">
        <v>60</v>
      </c>
      <c r="AK116" s="88">
        <v>163</v>
      </c>
      <c r="AL116" s="88">
        <v>17</v>
      </c>
      <c r="AM116" s="88" t="s">
        <v>1705</v>
      </c>
      <c r="AN116" s="100" t="str">
        <f>HYPERLINK("https://www.youtube.com/watch?v=XHoAe-3qUh4")</f>
        <v>https://www.youtube.com/watch?v=XHoAe-3qUh4</v>
      </c>
      <c r="AO116" s="88" t="str">
        <f>REPLACE(INDEX(GroupVertices[Group],MATCH(Vertices[[#This Row],[Vertex]],GroupVertices[Vertex],0)),1,1,"")</f>
        <v>2</v>
      </c>
      <c r="AP116" s="48">
        <v>0</v>
      </c>
      <c r="AQ116" s="49">
        <v>0</v>
      </c>
      <c r="AR116" s="48">
        <v>1</v>
      </c>
      <c r="AS116" s="49">
        <v>2.857142857142857</v>
      </c>
      <c r="AT116" s="48">
        <v>0</v>
      </c>
      <c r="AU116" s="49">
        <v>0</v>
      </c>
      <c r="AV116" s="48">
        <v>34</v>
      </c>
      <c r="AW116" s="49">
        <v>97.14285714285714</v>
      </c>
      <c r="AX116" s="48">
        <v>35</v>
      </c>
      <c r="AY116" s="48"/>
      <c r="AZ116" s="48"/>
      <c r="BA116" s="48"/>
      <c r="BB116" s="48"/>
      <c r="BC116" s="2"/>
      <c r="BD116" s="3"/>
      <c r="BE116" s="3"/>
      <c r="BF116" s="3"/>
      <c r="BG116" s="3"/>
    </row>
    <row r="117" spans="1:59" ht="15">
      <c r="A117" s="65" t="s">
        <v>337</v>
      </c>
      <c r="B117" s="66"/>
      <c r="C117" s="66"/>
      <c r="D117" s="67">
        <v>81.69875081525939</v>
      </c>
      <c r="E117" s="69"/>
      <c r="F117" s="98" t="str">
        <f>HYPERLINK("https://i.ytimg.com/vi/uTLV1tWXmzo/default.jpg")</f>
        <v>https://i.ytimg.com/vi/uTLV1tWXmzo/default.jpg</v>
      </c>
      <c r="G117" s="66"/>
      <c r="H117" s="70" t="s">
        <v>619</v>
      </c>
      <c r="I117" s="71"/>
      <c r="J117" s="71" t="s">
        <v>75</v>
      </c>
      <c r="K117" s="70" t="s">
        <v>619</v>
      </c>
      <c r="L117" s="74">
        <v>3636.6363636363635</v>
      </c>
      <c r="M117" s="75">
        <v>1871.0118408203125</v>
      </c>
      <c r="N117" s="75">
        <v>1418.7667236328125</v>
      </c>
      <c r="O117" s="76"/>
      <c r="P117" s="77"/>
      <c r="Q117" s="77"/>
      <c r="R117" s="91"/>
      <c r="S117" s="48">
        <v>4</v>
      </c>
      <c r="T117" s="48">
        <v>0</v>
      </c>
      <c r="U117" s="49">
        <v>256.73212</v>
      </c>
      <c r="V117" s="49">
        <v>0.000951</v>
      </c>
      <c r="W117" s="49">
        <v>0.010872</v>
      </c>
      <c r="X117" s="49">
        <v>1.040642</v>
      </c>
      <c r="Y117" s="49">
        <v>0.25</v>
      </c>
      <c r="Z117" s="49">
        <v>0</v>
      </c>
      <c r="AA117" s="72">
        <v>117</v>
      </c>
      <c r="AB117" s="72"/>
      <c r="AC117" s="73"/>
      <c r="AD117" s="88" t="s">
        <v>619</v>
      </c>
      <c r="AE117" s="88" t="s">
        <v>895</v>
      </c>
      <c r="AF117" s="88" t="s">
        <v>1166</v>
      </c>
      <c r="AG117" s="88" t="s">
        <v>1367</v>
      </c>
      <c r="AH117" s="88" t="s">
        <v>1538</v>
      </c>
      <c r="AI117" s="88">
        <v>15757</v>
      </c>
      <c r="AJ117" s="88">
        <v>21</v>
      </c>
      <c r="AK117" s="88">
        <v>123</v>
      </c>
      <c r="AL117" s="88">
        <v>5</v>
      </c>
      <c r="AM117" s="88" t="s">
        <v>1705</v>
      </c>
      <c r="AN117" s="100" t="str">
        <f>HYPERLINK("https://www.youtube.com/watch?v=uTLV1tWXmzo")</f>
        <v>https://www.youtube.com/watch?v=uTLV1tWXmzo</v>
      </c>
      <c r="AO117" s="88" t="str">
        <f>REPLACE(INDEX(GroupVertices[Group],MATCH(Vertices[[#This Row],[Vertex]],GroupVertices[Vertex],0)),1,1,"")</f>
        <v>2</v>
      </c>
      <c r="AP117" s="48">
        <v>0</v>
      </c>
      <c r="AQ117" s="49">
        <v>0</v>
      </c>
      <c r="AR117" s="48">
        <v>2</v>
      </c>
      <c r="AS117" s="49">
        <v>2.9411764705882355</v>
      </c>
      <c r="AT117" s="48">
        <v>0</v>
      </c>
      <c r="AU117" s="49">
        <v>0</v>
      </c>
      <c r="AV117" s="48">
        <v>66</v>
      </c>
      <c r="AW117" s="49">
        <v>97.05882352941177</v>
      </c>
      <c r="AX117" s="48">
        <v>68</v>
      </c>
      <c r="AY117" s="48"/>
      <c r="AZ117" s="48"/>
      <c r="BA117" s="48"/>
      <c r="BB117" s="48"/>
      <c r="BC117" s="2"/>
      <c r="BD117" s="3"/>
      <c r="BE117" s="3"/>
      <c r="BF117" s="3"/>
      <c r="BG117" s="3"/>
    </row>
    <row r="118" spans="1:59" ht="15">
      <c r="A118" s="65" t="s">
        <v>338</v>
      </c>
      <c r="B118" s="66"/>
      <c r="C118" s="66"/>
      <c r="D118" s="67">
        <v>110.08467858987457</v>
      </c>
      <c r="E118" s="69"/>
      <c r="F118" s="98" t="str">
        <f>HYPERLINK("https://i.ytimg.com/vi/K4SQ-NOV-iU/default.jpg")</f>
        <v>https://i.ytimg.com/vi/K4SQ-NOV-iU/default.jpg</v>
      </c>
      <c r="G118" s="66"/>
      <c r="H118" s="70" t="s">
        <v>620</v>
      </c>
      <c r="I118" s="71"/>
      <c r="J118" s="71" t="s">
        <v>75</v>
      </c>
      <c r="K118" s="70" t="s">
        <v>620</v>
      </c>
      <c r="L118" s="74">
        <v>2727.7272727272725</v>
      </c>
      <c r="M118" s="75">
        <v>1020.6583862304688</v>
      </c>
      <c r="N118" s="75">
        <v>2162.754150390625</v>
      </c>
      <c r="O118" s="76"/>
      <c r="P118" s="77"/>
      <c r="Q118" s="77"/>
      <c r="R118" s="91"/>
      <c r="S118" s="48">
        <v>3</v>
      </c>
      <c r="T118" s="48">
        <v>0</v>
      </c>
      <c r="U118" s="49">
        <v>85.791265</v>
      </c>
      <c r="V118" s="49">
        <v>0.000931</v>
      </c>
      <c r="W118" s="49">
        <v>0.009019</v>
      </c>
      <c r="X118" s="49">
        <v>0.790681</v>
      </c>
      <c r="Y118" s="49">
        <v>0.16666666666666666</v>
      </c>
      <c r="Z118" s="49">
        <v>0</v>
      </c>
      <c r="AA118" s="72">
        <v>118</v>
      </c>
      <c r="AB118" s="72"/>
      <c r="AC118" s="73"/>
      <c r="AD118" s="88" t="s">
        <v>620</v>
      </c>
      <c r="AE118" s="88" t="s">
        <v>896</v>
      </c>
      <c r="AF118" s="88" t="s">
        <v>1136</v>
      </c>
      <c r="AG118" s="88" t="s">
        <v>1351</v>
      </c>
      <c r="AH118" s="88" t="s">
        <v>1539</v>
      </c>
      <c r="AI118" s="88">
        <v>277651</v>
      </c>
      <c r="AJ118" s="88">
        <v>5496</v>
      </c>
      <c r="AK118" s="88">
        <v>7118</v>
      </c>
      <c r="AL118" s="88">
        <v>881</v>
      </c>
      <c r="AM118" s="88" t="s">
        <v>1705</v>
      </c>
      <c r="AN118" s="100" t="str">
        <f>HYPERLINK("https://www.youtube.com/watch?v=K4SQ-NOV-iU")</f>
        <v>https://www.youtube.com/watch?v=K4SQ-NOV-iU</v>
      </c>
      <c r="AO118" s="88" t="str">
        <f>REPLACE(INDEX(GroupVertices[Group],MATCH(Vertices[[#This Row],[Vertex]],GroupVertices[Vertex],0)),1,1,"")</f>
        <v>2</v>
      </c>
      <c r="AP118" s="48">
        <v>0</v>
      </c>
      <c r="AQ118" s="49">
        <v>0</v>
      </c>
      <c r="AR118" s="48">
        <v>0</v>
      </c>
      <c r="AS118" s="49">
        <v>0</v>
      </c>
      <c r="AT118" s="48">
        <v>0</v>
      </c>
      <c r="AU118" s="49">
        <v>0</v>
      </c>
      <c r="AV118" s="48">
        <v>17</v>
      </c>
      <c r="AW118" s="49">
        <v>100</v>
      </c>
      <c r="AX118" s="48">
        <v>17</v>
      </c>
      <c r="AY118" s="48"/>
      <c r="AZ118" s="48"/>
      <c r="BA118" s="48"/>
      <c r="BB118" s="48"/>
      <c r="BC118" s="2"/>
      <c r="BD118" s="3"/>
      <c r="BE118" s="3"/>
      <c r="BF118" s="3"/>
      <c r="BG118" s="3"/>
    </row>
    <row r="119" spans="1:59" ht="15">
      <c r="A119" s="65" t="s">
        <v>339</v>
      </c>
      <c r="B119" s="66"/>
      <c r="C119" s="66"/>
      <c r="D119" s="67">
        <v>81.22531601904596</v>
      </c>
      <c r="E119" s="69"/>
      <c r="F119" s="98" t="str">
        <f>HYPERLINK("https://i.ytimg.com/vi/dY1XMcPG9QA/default.jpg")</f>
        <v>https://i.ytimg.com/vi/dY1XMcPG9QA/default.jpg</v>
      </c>
      <c r="G119" s="66"/>
      <c r="H119" s="70" t="s">
        <v>621</v>
      </c>
      <c r="I119" s="71"/>
      <c r="J119" s="71" t="s">
        <v>75</v>
      </c>
      <c r="K119" s="70" t="s">
        <v>621</v>
      </c>
      <c r="L119" s="74">
        <v>1818.8181818181818</v>
      </c>
      <c r="M119" s="75">
        <v>2316.607666015625</v>
      </c>
      <c r="N119" s="75">
        <v>3951.563232421875</v>
      </c>
      <c r="O119" s="76"/>
      <c r="P119" s="77"/>
      <c r="Q119" s="77"/>
      <c r="R119" s="91"/>
      <c r="S119" s="48">
        <v>2</v>
      </c>
      <c r="T119" s="48">
        <v>0</v>
      </c>
      <c r="U119" s="49">
        <v>0</v>
      </c>
      <c r="V119" s="49">
        <v>0.000912</v>
      </c>
      <c r="W119" s="49">
        <v>0.006966</v>
      </c>
      <c r="X119" s="49">
        <v>0.558475</v>
      </c>
      <c r="Y119" s="49">
        <v>0.5</v>
      </c>
      <c r="Z119" s="49">
        <v>0</v>
      </c>
      <c r="AA119" s="72">
        <v>119</v>
      </c>
      <c r="AB119" s="72"/>
      <c r="AC119" s="73"/>
      <c r="AD119" s="88" t="s">
        <v>621</v>
      </c>
      <c r="AE119" s="88" t="s">
        <v>897</v>
      </c>
      <c r="AF119" s="88" t="s">
        <v>1154</v>
      </c>
      <c r="AG119" s="88" t="s">
        <v>1358</v>
      </c>
      <c r="AH119" s="88" t="s">
        <v>1540</v>
      </c>
      <c r="AI119" s="88">
        <v>11389</v>
      </c>
      <c r="AJ119" s="88">
        <v>17</v>
      </c>
      <c r="AK119" s="88">
        <v>75</v>
      </c>
      <c r="AL119" s="88">
        <v>12</v>
      </c>
      <c r="AM119" s="88" t="s">
        <v>1705</v>
      </c>
      <c r="AN119" s="100" t="str">
        <f>HYPERLINK("https://www.youtube.com/watch?v=dY1XMcPG9QA")</f>
        <v>https://www.youtube.com/watch?v=dY1XMcPG9QA</v>
      </c>
      <c r="AO119" s="88" t="str">
        <f>REPLACE(INDEX(GroupVertices[Group],MATCH(Vertices[[#This Row],[Vertex]],GroupVertices[Vertex],0)),1,1,"")</f>
        <v>2</v>
      </c>
      <c r="AP119" s="48">
        <v>1</v>
      </c>
      <c r="AQ119" s="49">
        <v>2.857142857142857</v>
      </c>
      <c r="AR119" s="48">
        <v>1</v>
      </c>
      <c r="AS119" s="49">
        <v>2.857142857142857</v>
      </c>
      <c r="AT119" s="48">
        <v>0</v>
      </c>
      <c r="AU119" s="49">
        <v>0</v>
      </c>
      <c r="AV119" s="48">
        <v>33</v>
      </c>
      <c r="AW119" s="49">
        <v>94.28571428571429</v>
      </c>
      <c r="AX119" s="48">
        <v>35</v>
      </c>
      <c r="AY119" s="48"/>
      <c r="AZ119" s="48"/>
      <c r="BA119" s="48"/>
      <c r="BB119" s="48"/>
      <c r="BC119" s="2"/>
      <c r="BD119" s="3"/>
      <c r="BE119" s="3"/>
      <c r="BF119" s="3"/>
      <c r="BG119" s="3"/>
    </row>
    <row r="120" spans="1:59" ht="15">
      <c r="A120" s="65" t="s">
        <v>340</v>
      </c>
      <c r="B120" s="66"/>
      <c r="C120" s="66"/>
      <c r="D120" s="67">
        <v>132.84477461140872</v>
      </c>
      <c r="E120" s="69"/>
      <c r="F120" s="98" t="str">
        <f>HYPERLINK("https://i.ytimg.com/vi/9Em0FSsI_VU/default.jpg")</f>
        <v>https://i.ytimg.com/vi/9Em0FSsI_VU/default.jpg</v>
      </c>
      <c r="G120" s="66"/>
      <c r="H120" s="70" t="s">
        <v>622</v>
      </c>
      <c r="I120" s="71"/>
      <c r="J120" s="71" t="s">
        <v>159</v>
      </c>
      <c r="K120" s="70" t="s">
        <v>622</v>
      </c>
      <c r="L120" s="74">
        <v>909.9090909090909</v>
      </c>
      <c r="M120" s="75">
        <v>648.0436401367188</v>
      </c>
      <c r="N120" s="75">
        <v>3980.86376953125</v>
      </c>
      <c r="O120" s="76"/>
      <c r="P120" s="77"/>
      <c r="Q120" s="77"/>
      <c r="R120" s="91"/>
      <c r="S120" s="48">
        <v>1</v>
      </c>
      <c r="T120" s="48">
        <v>0</v>
      </c>
      <c r="U120" s="49">
        <v>0</v>
      </c>
      <c r="V120" s="49">
        <v>0.000887</v>
      </c>
      <c r="W120" s="49">
        <v>0.003911</v>
      </c>
      <c r="X120" s="49">
        <v>0.353226</v>
      </c>
      <c r="Y120" s="49">
        <v>0</v>
      </c>
      <c r="Z120" s="49">
        <v>0</v>
      </c>
      <c r="AA120" s="72">
        <v>120</v>
      </c>
      <c r="AB120" s="72"/>
      <c r="AC120" s="73"/>
      <c r="AD120" s="88" t="s">
        <v>622</v>
      </c>
      <c r="AE120" s="88" t="s">
        <v>898</v>
      </c>
      <c r="AF120" s="88" t="s">
        <v>1167</v>
      </c>
      <c r="AG120" s="88" t="s">
        <v>1328</v>
      </c>
      <c r="AH120" s="88" t="s">
        <v>1541</v>
      </c>
      <c r="AI120" s="88">
        <v>487640</v>
      </c>
      <c r="AJ120" s="88">
        <v>1416</v>
      </c>
      <c r="AK120" s="88">
        <v>13008</v>
      </c>
      <c r="AL120" s="88">
        <v>946</v>
      </c>
      <c r="AM120" s="88" t="s">
        <v>1705</v>
      </c>
      <c r="AN120" s="100" t="str">
        <f>HYPERLINK("https://www.youtube.com/watch?v=9Em0FSsI_VU")</f>
        <v>https://www.youtube.com/watch?v=9Em0FSsI_VU</v>
      </c>
      <c r="AO120" s="88" t="str">
        <f>REPLACE(INDEX(GroupVertices[Group],MATCH(Vertices[[#This Row],[Vertex]],GroupVertices[Vertex],0)),1,1,"")</f>
        <v>2</v>
      </c>
      <c r="AP120" s="48">
        <v>2</v>
      </c>
      <c r="AQ120" s="49">
        <v>4.878048780487805</v>
      </c>
      <c r="AR120" s="48">
        <v>0</v>
      </c>
      <c r="AS120" s="49">
        <v>0</v>
      </c>
      <c r="AT120" s="48">
        <v>0</v>
      </c>
      <c r="AU120" s="49">
        <v>0</v>
      </c>
      <c r="AV120" s="48">
        <v>39</v>
      </c>
      <c r="AW120" s="49">
        <v>95.1219512195122</v>
      </c>
      <c r="AX120" s="48">
        <v>41</v>
      </c>
      <c r="AY120" s="48"/>
      <c r="AZ120" s="48"/>
      <c r="BA120" s="48"/>
      <c r="BB120" s="48"/>
      <c r="BC120" s="2"/>
      <c r="BD120" s="3"/>
      <c r="BE120" s="3"/>
      <c r="BF120" s="3"/>
      <c r="BG120" s="3"/>
    </row>
    <row r="121" spans="1:59" ht="15">
      <c r="A121" s="65" t="s">
        <v>341</v>
      </c>
      <c r="B121" s="66"/>
      <c r="C121" s="66"/>
      <c r="D121" s="67">
        <v>93.4850878218154</v>
      </c>
      <c r="E121" s="69"/>
      <c r="F121" s="98" t="str">
        <f>HYPERLINK("https://i.ytimg.com/vi/FYQz4QvYEXA/default.jpg")</f>
        <v>https://i.ytimg.com/vi/FYQz4QvYEXA/default.jpg</v>
      </c>
      <c r="G121" s="66"/>
      <c r="H121" s="70" t="s">
        <v>623</v>
      </c>
      <c r="I121" s="71"/>
      <c r="J121" s="71" t="s">
        <v>159</v>
      </c>
      <c r="K121" s="70" t="s">
        <v>623</v>
      </c>
      <c r="L121" s="74">
        <v>909.9090909090909</v>
      </c>
      <c r="M121" s="75">
        <v>1479.2125244140625</v>
      </c>
      <c r="N121" s="75">
        <v>4504.326171875</v>
      </c>
      <c r="O121" s="76"/>
      <c r="P121" s="77"/>
      <c r="Q121" s="77"/>
      <c r="R121" s="91"/>
      <c r="S121" s="48">
        <v>1</v>
      </c>
      <c r="T121" s="48">
        <v>0</v>
      </c>
      <c r="U121" s="49">
        <v>0</v>
      </c>
      <c r="V121" s="49">
        <v>0.000887</v>
      </c>
      <c r="W121" s="49">
        <v>0.003911</v>
      </c>
      <c r="X121" s="49">
        <v>0.353226</v>
      </c>
      <c r="Y121" s="49">
        <v>0</v>
      </c>
      <c r="Z121" s="49">
        <v>0</v>
      </c>
      <c r="AA121" s="72">
        <v>121</v>
      </c>
      <c r="AB121" s="72"/>
      <c r="AC121" s="73"/>
      <c r="AD121" s="88" t="s">
        <v>623</v>
      </c>
      <c r="AE121" s="88" t="s">
        <v>899</v>
      </c>
      <c r="AF121" s="88" t="s">
        <v>1168</v>
      </c>
      <c r="AG121" s="88" t="s">
        <v>1353</v>
      </c>
      <c r="AH121" s="88" t="s">
        <v>1542</v>
      </c>
      <c r="AI121" s="88">
        <v>124500</v>
      </c>
      <c r="AJ121" s="88">
        <v>363</v>
      </c>
      <c r="AK121" s="88">
        <v>4792</v>
      </c>
      <c r="AL121" s="88">
        <v>145</v>
      </c>
      <c r="AM121" s="88" t="s">
        <v>1705</v>
      </c>
      <c r="AN121" s="100" t="str">
        <f>HYPERLINK("https://www.youtube.com/watch?v=FYQz4QvYEXA")</f>
        <v>https://www.youtube.com/watch?v=FYQz4QvYEXA</v>
      </c>
      <c r="AO121" s="88" t="str">
        <f>REPLACE(INDEX(GroupVertices[Group],MATCH(Vertices[[#This Row],[Vertex]],GroupVertices[Vertex],0)),1,1,"")</f>
        <v>2</v>
      </c>
      <c r="AP121" s="48">
        <v>0</v>
      </c>
      <c r="AQ121" s="49">
        <v>0</v>
      </c>
      <c r="AR121" s="48">
        <v>0</v>
      </c>
      <c r="AS121" s="49">
        <v>0</v>
      </c>
      <c r="AT121" s="48">
        <v>0</v>
      </c>
      <c r="AU121" s="49">
        <v>0</v>
      </c>
      <c r="AV121" s="48">
        <v>70</v>
      </c>
      <c r="AW121" s="49">
        <v>100</v>
      </c>
      <c r="AX121" s="48">
        <v>70</v>
      </c>
      <c r="AY121" s="48"/>
      <c r="AZ121" s="48"/>
      <c r="BA121" s="48"/>
      <c r="BB121" s="48"/>
      <c r="BC121" s="2"/>
      <c r="BD121" s="3"/>
      <c r="BE121" s="3"/>
      <c r="BF121" s="3"/>
      <c r="BG121" s="3"/>
    </row>
    <row r="122" spans="1:59" ht="15">
      <c r="A122" s="65" t="s">
        <v>342</v>
      </c>
      <c r="B122" s="66"/>
      <c r="C122" s="66"/>
      <c r="D122" s="67">
        <v>81.20450569833329</v>
      </c>
      <c r="E122" s="69"/>
      <c r="F122" s="98" t="str">
        <f>HYPERLINK("https://i.ytimg.com/vi/GyEq9zENX9I/default.jpg")</f>
        <v>https://i.ytimg.com/vi/GyEq9zENX9I/default.jpg</v>
      </c>
      <c r="G122" s="66"/>
      <c r="H122" s="70" t="s">
        <v>624</v>
      </c>
      <c r="I122" s="71"/>
      <c r="J122" s="71" t="s">
        <v>159</v>
      </c>
      <c r="K122" s="70" t="s">
        <v>624</v>
      </c>
      <c r="L122" s="74">
        <v>909.9090909090909</v>
      </c>
      <c r="M122" s="75">
        <v>891.2791137695312</v>
      </c>
      <c r="N122" s="75">
        <v>4225.10888671875</v>
      </c>
      <c r="O122" s="76"/>
      <c r="P122" s="77"/>
      <c r="Q122" s="77"/>
      <c r="R122" s="91"/>
      <c r="S122" s="48">
        <v>1</v>
      </c>
      <c r="T122" s="48">
        <v>0</v>
      </c>
      <c r="U122" s="49">
        <v>0</v>
      </c>
      <c r="V122" s="49">
        <v>0.000887</v>
      </c>
      <c r="W122" s="49">
        <v>0.003911</v>
      </c>
      <c r="X122" s="49">
        <v>0.353226</v>
      </c>
      <c r="Y122" s="49">
        <v>0</v>
      </c>
      <c r="Z122" s="49">
        <v>0</v>
      </c>
      <c r="AA122" s="72">
        <v>122</v>
      </c>
      <c r="AB122" s="72"/>
      <c r="AC122" s="73"/>
      <c r="AD122" s="88" t="s">
        <v>624</v>
      </c>
      <c r="AE122" s="88" t="s">
        <v>900</v>
      </c>
      <c r="AF122" s="88" t="s">
        <v>1169</v>
      </c>
      <c r="AG122" s="88" t="s">
        <v>1368</v>
      </c>
      <c r="AH122" s="88" t="s">
        <v>1543</v>
      </c>
      <c r="AI122" s="88">
        <v>11197</v>
      </c>
      <c r="AJ122" s="88">
        <v>29</v>
      </c>
      <c r="AK122" s="88">
        <v>106</v>
      </c>
      <c r="AL122" s="88">
        <v>24</v>
      </c>
      <c r="AM122" s="88" t="s">
        <v>1705</v>
      </c>
      <c r="AN122" s="100" t="str">
        <f>HYPERLINK("https://www.youtube.com/watch?v=GyEq9zENX9I")</f>
        <v>https://www.youtube.com/watch?v=GyEq9zENX9I</v>
      </c>
      <c r="AO122" s="88" t="str">
        <f>REPLACE(INDEX(GroupVertices[Group],MATCH(Vertices[[#This Row],[Vertex]],GroupVertices[Vertex],0)),1,1,"")</f>
        <v>2</v>
      </c>
      <c r="AP122" s="48">
        <v>0</v>
      </c>
      <c r="AQ122" s="49">
        <v>0</v>
      </c>
      <c r="AR122" s="48">
        <v>0</v>
      </c>
      <c r="AS122" s="49">
        <v>0</v>
      </c>
      <c r="AT122" s="48">
        <v>0</v>
      </c>
      <c r="AU122" s="49">
        <v>0</v>
      </c>
      <c r="AV122" s="48">
        <v>7</v>
      </c>
      <c r="AW122" s="49">
        <v>100</v>
      </c>
      <c r="AX122" s="48">
        <v>7</v>
      </c>
      <c r="AY122" s="48"/>
      <c r="AZ122" s="48"/>
      <c r="BA122" s="48"/>
      <c r="BB122" s="48"/>
      <c r="BC122" s="2"/>
      <c r="BD122" s="3"/>
      <c r="BE122" s="3"/>
      <c r="BF122" s="3"/>
      <c r="BG122" s="3"/>
    </row>
    <row r="123" spans="1:59" ht="15">
      <c r="A123" s="65" t="s">
        <v>343</v>
      </c>
      <c r="B123" s="66"/>
      <c r="C123" s="66"/>
      <c r="D123" s="67">
        <v>115.78909098106337</v>
      </c>
      <c r="E123" s="69"/>
      <c r="F123" s="98" t="str">
        <f>HYPERLINK("https://i.ytimg.com/vi/AfOa3cvwyPg/default.jpg")</f>
        <v>https://i.ytimg.com/vi/AfOa3cvwyPg/default.jpg</v>
      </c>
      <c r="G123" s="66"/>
      <c r="H123" s="70" t="s">
        <v>625</v>
      </c>
      <c r="I123" s="71"/>
      <c r="J123" s="71" t="s">
        <v>159</v>
      </c>
      <c r="K123" s="70" t="s">
        <v>625</v>
      </c>
      <c r="L123" s="74">
        <v>909.9090909090909</v>
      </c>
      <c r="M123" s="75">
        <v>1170.540283203125</v>
      </c>
      <c r="N123" s="75">
        <v>4398.07373046875</v>
      </c>
      <c r="O123" s="76"/>
      <c r="P123" s="77"/>
      <c r="Q123" s="77"/>
      <c r="R123" s="91"/>
      <c r="S123" s="48">
        <v>1</v>
      </c>
      <c r="T123" s="48">
        <v>0</v>
      </c>
      <c r="U123" s="49">
        <v>0</v>
      </c>
      <c r="V123" s="49">
        <v>0.000887</v>
      </c>
      <c r="W123" s="49">
        <v>0.003911</v>
      </c>
      <c r="X123" s="49">
        <v>0.353226</v>
      </c>
      <c r="Y123" s="49">
        <v>0</v>
      </c>
      <c r="Z123" s="49">
        <v>0</v>
      </c>
      <c r="AA123" s="72">
        <v>123</v>
      </c>
      <c r="AB123" s="72"/>
      <c r="AC123" s="73"/>
      <c r="AD123" s="88" t="s">
        <v>625</v>
      </c>
      <c r="AE123" s="88" t="s">
        <v>901</v>
      </c>
      <c r="AF123" s="88" t="s">
        <v>1170</v>
      </c>
      <c r="AG123" s="88" t="s">
        <v>1353</v>
      </c>
      <c r="AH123" s="88" t="s">
        <v>1544</v>
      </c>
      <c r="AI123" s="88">
        <v>330281</v>
      </c>
      <c r="AJ123" s="88">
        <v>938</v>
      </c>
      <c r="AK123" s="88">
        <v>14604</v>
      </c>
      <c r="AL123" s="88">
        <v>183</v>
      </c>
      <c r="AM123" s="88" t="s">
        <v>1705</v>
      </c>
      <c r="AN123" s="100" t="str">
        <f>HYPERLINK("https://www.youtube.com/watch?v=AfOa3cvwyPg")</f>
        <v>https://www.youtube.com/watch?v=AfOa3cvwyPg</v>
      </c>
      <c r="AO123" s="88" t="str">
        <f>REPLACE(INDEX(GroupVertices[Group],MATCH(Vertices[[#This Row],[Vertex]],GroupVertices[Vertex],0)),1,1,"")</f>
        <v>2</v>
      </c>
      <c r="AP123" s="48">
        <v>0</v>
      </c>
      <c r="AQ123" s="49">
        <v>0</v>
      </c>
      <c r="AR123" s="48">
        <v>0</v>
      </c>
      <c r="AS123" s="49">
        <v>0</v>
      </c>
      <c r="AT123" s="48">
        <v>0</v>
      </c>
      <c r="AU123" s="49">
        <v>0</v>
      </c>
      <c r="AV123" s="48">
        <v>68</v>
      </c>
      <c r="AW123" s="49">
        <v>100</v>
      </c>
      <c r="AX123" s="48">
        <v>68</v>
      </c>
      <c r="AY123" s="48"/>
      <c r="AZ123" s="48"/>
      <c r="BA123" s="48"/>
      <c r="BB123" s="48"/>
      <c r="BC123" s="2"/>
      <c r="BD123" s="3"/>
      <c r="BE123" s="3"/>
      <c r="BF123" s="3"/>
      <c r="BG123" s="3"/>
    </row>
    <row r="124" spans="1:59" ht="15">
      <c r="A124" s="65" t="s">
        <v>223</v>
      </c>
      <c r="B124" s="66"/>
      <c r="C124" s="66"/>
      <c r="D124" s="67">
        <v>140.080262994198</v>
      </c>
      <c r="E124" s="69"/>
      <c r="F124" s="98" t="str">
        <f>HYPERLINK("https://i.ytimg.com/vi/q_DAkPMpTuw/default.jpg")</f>
        <v>https://i.ytimg.com/vi/q_DAkPMpTuw/default.jpg</v>
      </c>
      <c r="G124" s="66"/>
      <c r="H124" s="70" t="s">
        <v>626</v>
      </c>
      <c r="I124" s="71"/>
      <c r="J124" s="71" t="s">
        <v>159</v>
      </c>
      <c r="K124" s="70" t="s">
        <v>626</v>
      </c>
      <c r="L124" s="74">
        <v>1</v>
      </c>
      <c r="M124" s="75">
        <v>1165.291748046875</v>
      </c>
      <c r="N124" s="75">
        <v>1377.5103759765625</v>
      </c>
      <c r="O124" s="76"/>
      <c r="P124" s="77"/>
      <c r="Q124" s="77"/>
      <c r="R124" s="91"/>
      <c r="S124" s="48">
        <v>0</v>
      </c>
      <c r="T124" s="48">
        <v>20</v>
      </c>
      <c r="U124" s="49">
        <v>5340.3964</v>
      </c>
      <c r="V124" s="49">
        <v>0.001044</v>
      </c>
      <c r="W124" s="49">
        <v>0.020388</v>
      </c>
      <c r="X124" s="49">
        <v>5.463676</v>
      </c>
      <c r="Y124" s="49">
        <v>0.010526315789473684</v>
      </c>
      <c r="Z124" s="49">
        <v>0</v>
      </c>
      <c r="AA124" s="72">
        <v>124</v>
      </c>
      <c r="AB124" s="72"/>
      <c r="AC124" s="73"/>
      <c r="AD124" s="88" t="s">
        <v>626</v>
      </c>
      <c r="AE124" s="88" t="s">
        <v>902</v>
      </c>
      <c r="AF124" s="88" t="s">
        <v>1171</v>
      </c>
      <c r="AG124" s="88" t="s">
        <v>1326</v>
      </c>
      <c r="AH124" s="88" t="s">
        <v>1545</v>
      </c>
      <c r="AI124" s="88">
        <v>554396</v>
      </c>
      <c r="AJ124" s="88">
        <v>1448</v>
      </c>
      <c r="AK124" s="88">
        <v>2056</v>
      </c>
      <c r="AL124" s="88">
        <v>1084</v>
      </c>
      <c r="AM124" s="88" t="s">
        <v>1705</v>
      </c>
      <c r="AN124" s="100" t="str">
        <f>HYPERLINK("https://www.youtube.com/watch?v=q_DAkPMpTuw")</f>
        <v>https://www.youtube.com/watch?v=q_DAkPMpTuw</v>
      </c>
      <c r="AO124" s="88" t="str">
        <f>REPLACE(INDEX(GroupVertices[Group],MATCH(Vertices[[#This Row],[Vertex]],GroupVertices[Vertex],0)),1,1,"")</f>
        <v>2</v>
      </c>
      <c r="AP124" s="48">
        <v>0</v>
      </c>
      <c r="AQ124" s="49">
        <v>0</v>
      </c>
      <c r="AR124" s="48">
        <v>3</v>
      </c>
      <c r="AS124" s="49">
        <v>7.5</v>
      </c>
      <c r="AT124" s="48">
        <v>0</v>
      </c>
      <c r="AU124" s="49">
        <v>0</v>
      </c>
      <c r="AV124" s="48">
        <v>37</v>
      </c>
      <c r="AW124" s="49">
        <v>92.5</v>
      </c>
      <c r="AX124" s="48">
        <v>40</v>
      </c>
      <c r="AY124" s="121" t="s">
        <v>2747</v>
      </c>
      <c r="AZ124" s="121" t="s">
        <v>2747</v>
      </c>
      <c r="BA124" s="121" t="s">
        <v>2747</v>
      </c>
      <c r="BB124" s="121" t="s">
        <v>2747</v>
      </c>
      <c r="BC124" s="2"/>
      <c r="BD124" s="3"/>
      <c r="BE124" s="3"/>
      <c r="BF124" s="3"/>
      <c r="BG124" s="3"/>
    </row>
    <row r="125" spans="1:59" ht="15">
      <c r="A125" s="65" t="s">
        <v>344</v>
      </c>
      <c r="B125" s="66"/>
      <c r="C125" s="66"/>
      <c r="D125" s="67">
        <v>84.6874163534437</v>
      </c>
      <c r="E125" s="69"/>
      <c r="F125" s="98" t="str">
        <f>HYPERLINK("https://i.ytimg.com/vi/GLJRtTmBq80/default.jpg")</f>
        <v>https://i.ytimg.com/vi/GLJRtTmBq80/default.jpg</v>
      </c>
      <c r="G125" s="66"/>
      <c r="H125" s="70" t="s">
        <v>627</v>
      </c>
      <c r="I125" s="71"/>
      <c r="J125" s="71" t="s">
        <v>159</v>
      </c>
      <c r="K125" s="70" t="s">
        <v>627</v>
      </c>
      <c r="L125" s="74">
        <v>909.9090909090909</v>
      </c>
      <c r="M125" s="75">
        <v>227.93540954589844</v>
      </c>
      <c r="N125" s="75">
        <v>1125.7381591796875</v>
      </c>
      <c r="O125" s="76"/>
      <c r="P125" s="77"/>
      <c r="Q125" s="77"/>
      <c r="R125" s="91"/>
      <c r="S125" s="48">
        <v>1</v>
      </c>
      <c r="T125" s="48">
        <v>0</v>
      </c>
      <c r="U125" s="49">
        <v>0</v>
      </c>
      <c r="V125" s="49">
        <v>0.000809</v>
      </c>
      <c r="W125" s="49">
        <v>0.002053</v>
      </c>
      <c r="X125" s="49">
        <v>0.382206</v>
      </c>
      <c r="Y125" s="49">
        <v>0</v>
      </c>
      <c r="Z125" s="49">
        <v>0</v>
      </c>
      <c r="AA125" s="72">
        <v>125</v>
      </c>
      <c r="AB125" s="72"/>
      <c r="AC125" s="73"/>
      <c r="AD125" s="88" t="s">
        <v>627</v>
      </c>
      <c r="AE125" s="88" t="s">
        <v>903</v>
      </c>
      <c r="AF125" s="88" t="s">
        <v>1172</v>
      </c>
      <c r="AG125" s="88" t="s">
        <v>1320</v>
      </c>
      <c r="AH125" s="88" t="s">
        <v>1546</v>
      </c>
      <c r="AI125" s="88">
        <v>43331</v>
      </c>
      <c r="AJ125" s="88">
        <v>643</v>
      </c>
      <c r="AK125" s="88">
        <v>773</v>
      </c>
      <c r="AL125" s="88">
        <v>94</v>
      </c>
      <c r="AM125" s="88" t="s">
        <v>1705</v>
      </c>
      <c r="AN125" s="100" t="str">
        <f>HYPERLINK("https://www.youtube.com/watch?v=GLJRtTmBq80")</f>
        <v>https://www.youtube.com/watch?v=GLJRtTmBq80</v>
      </c>
      <c r="AO125" s="88" t="str">
        <f>REPLACE(INDEX(GroupVertices[Group],MATCH(Vertices[[#This Row],[Vertex]],GroupVertices[Vertex],0)),1,1,"")</f>
        <v>2</v>
      </c>
      <c r="AP125" s="48">
        <v>0</v>
      </c>
      <c r="AQ125" s="49">
        <v>0</v>
      </c>
      <c r="AR125" s="48">
        <v>0</v>
      </c>
      <c r="AS125" s="49">
        <v>0</v>
      </c>
      <c r="AT125" s="48">
        <v>0</v>
      </c>
      <c r="AU125" s="49">
        <v>0</v>
      </c>
      <c r="AV125" s="48">
        <v>41</v>
      </c>
      <c r="AW125" s="49">
        <v>100</v>
      </c>
      <c r="AX125" s="48">
        <v>41</v>
      </c>
      <c r="AY125" s="48"/>
      <c r="AZ125" s="48"/>
      <c r="BA125" s="48"/>
      <c r="BB125" s="48"/>
      <c r="BC125" s="2"/>
      <c r="BD125" s="3"/>
      <c r="BE125" s="3"/>
      <c r="BF125" s="3"/>
      <c r="BG125" s="3"/>
    </row>
    <row r="126" spans="1:59" ht="15">
      <c r="A126" s="65" t="s">
        <v>345</v>
      </c>
      <c r="B126" s="66"/>
      <c r="C126" s="66"/>
      <c r="D126" s="67">
        <v>97.74101518173217</v>
      </c>
      <c r="E126" s="69"/>
      <c r="F126" s="98" t="str">
        <f>HYPERLINK("https://i.ytimg.com/vi/_fIMkigtnk4/default.jpg")</f>
        <v>https://i.ytimg.com/vi/_fIMkigtnk4/default.jpg</v>
      </c>
      <c r="G126" s="66"/>
      <c r="H126" s="70" t="s">
        <v>628</v>
      </c>
      <c r="I126" s="71"/>
      <c r="J126" s="71" t="s">
        <v>159</v>
      </c>
      <c r="K126" s="70" t="s">
        <v>628</v>
      </c>
      <c r="L126" s="74">
        <v>909.9090909090909</v>
      </c>
      <c r="M126" s="75">
        <v>1054.6539306640625</v>
      </c>
      <c r="N126" s="75">
        <v>262.24676513671875</v>
      </c>
      <c r="O126" s="76"/>
      <c r="P126" s="77"/>
      <c r="Q126" s="77"/>
      <c r="R126" s="91"/>
      <c r="S126" s="48">
        <v>1</v>
      </c>
      <c r="T126" s="48">
        <v>0</v>
      </c>
      <c r="U126" s="49">
        <v>0</v>
      </c>
      <c r="V126" s="49">
        <v>0.000809</v>
      </c>
      <c r="W126" s="49">
        <v>0.002053</v>
      </c>
      <c r="X126" s="49">
        <v>0.382206</v>
      </c>
      <c r="Y126" s="49">
        <v>0</v>
      </c>
      <c r="Z126" s="49">
        <v>0</v>
      </c>
      <c r="AA126" s="72">
        <v>126</v>
      </c>
      <c r="AB126" s="72"/>
      <c r="AC126" s="73"/>
      <c r="AD126" s="88" t="s">
        <v>628</v>
      </c>
      <c r="AE126" s="88" t="s">
        <v>904</v>
      </c>
      <c r="AF126" s="88" t="s">
        <v>1136</v>
      </c>
      <c r="AG126" s="88" t="s">
        <v>1351</v>
      </c>
      <c r="AH126" s="88" t="s">
        <v>1547</v>
      </c>
      <c r="AI126" s="88">
        <v>163766</v>
      </c>
      <c r="AJ126" s="88">
        <v>1629</v>
      </c>
      <c r="AK126" s="88">
        <v>5560</v>
      </c>
      <c r="AL126" s="88">
        <v>92</v>
      </c>
      <c r="AM126" s="88" t="s">
        <v>1705</v>
      </c>
      <c r="AN126" s="100" t="str">
        <f>HYPERLINK("https://www.youtube.com/watch?v=_fIMkigtnk4")</f>
        <v>https://www.youtube.com/watch?v=_fIMkigtnk4</v>
      </c>
      <c r="AO126" s="88" t="str">
        <f>REPLACE(INDEX(GroupVertices[Group],MATCH(Vertices[[#This Row],[Vertex]],GroupVertices[Vertex],0)),1,1,"")</f>
        <v>2</v>
      </c>
      <c r="AP126" s="48">
        <v>0</v>
      </c>
      <c r="AQ126" s="49">
        <v>0</v>
      </c>
      <c r="AR126" s="48">
        <v>0</v>
      </c>
      <c r="AS126" s="49">
        <v>0</v>
      </c>
      <c r="AT126" s="48">
        <v>0</v>
      </c>
      <c r="AU126" s="49">
        <v>0</v>
      </c>
      <c r="AV126" s="48">
        <v>17</v>
      </c>
      <c r="AW126" s="49">
        <v>100</v>
      </c>
      <c r="AX126" s="48">
        <v>17</v>
      </c>
      <c r="AY126" s="48"/>
      <c r="AZ126" s="48"/>
      <c r="BA126" s="48"/>
      <c r="BB126" s="48"/>
      <c r="BC126" s="2"/>
      <c r="BD126" s="3"/>
      <c r="BE126" s="3"/>
      <c r="BF126" s="3"/>
      <c r="BG126" s="3"/>
    </row>
    <row r="127" spans="1:59" ht="15">
      <c r="A127" s="65" t="s">
        <v>346</v>
      </c>
      <c r="B127" s="66"/>
      <c r="C127" s="66"/>
      <c r="D127" s="67">
        <v>82.65136492329964</v>
      </c>
      <c r="E127" s="69"/>
      <c r="F127" s="98" t="str">
        <f>HYPERLINK("https://i.ytimg.com/vi/Y13-HG5cIMI/default.jpg")</f>
        <v>https://i.ytimg.com/vi/Y13-HG5cIMI/default.jpg</v>
      </c>
      <c r="G127" s="66"/>
      <c r="H127" s="70" t="s">
        <v>629</v>
      </c>
      <c r="I127" s="71"/>
      <c r="J127" s="71" t="s">
        <v>159</v>
      </c>
      <c r="K127" s="70" t="s">
        <v>629</v>
      </c>
      <c r="L127" s="74">
        <v>909.9090909090909</v>
      </c>
      <c r="M127" s="75">
        <v>806.708251953125</v>
      </c>
      <c r="N127" s="75">
        <v>400.7738952636719</v>
      </c>
      <c r="O127" s="76"/>
      <c r="P127" s="77"/>
      <c r="Q127" s="77"/>
      <c r="R127" s="91"/>
      <c r="S127" s="48">
        <v>1</v>
      </c>
      <c r="T127" s="48">
        <v>0</v>
      </c>
      <c r="U127" s="49">
        <v>0</v>
      </c>
      <c r="V127" s="49">
        <v>0.000809</v>
      </c>
      <c r="W127" s="49">
        <v>0.002053</v>
      </c>
      <c r="X127" s="49">
        <v>0.382206</v>
      </c>
      <c r="Y127" s="49">
        <v>0</v>
      </c>
      <c r="Z127" s="49">
        <v>0</v>
      </c>
      <c r="AA127" s="72">
        <v>127</v>
      </c>
      <c r="AB127" s="72"/>
      <c r="AC127" s="73"/>
      <c r="AD127" s="88" t="s">
        <v>629</v>
      </c>
      <c r="AE127" s="88" t="s">
        <v>905</v>
      </c>
      <c r="AF127" s="88" t="s">
        <v>1092</v>
      </c>
      <c r="AG127" s="88" t="s">
        <v>1333</v>
      </c>
      <c r="AH127" s="88" t="s">
        <v>1548</v>
      </c>
      <c r="AI127" s="88">
        <v>24546</v>
      </c>
      <c r="AJ127" s="88">
        <v>133</v>
      </c>
      <c r="AK127" s="88">
        <v>174</v>
      </c>
      <c r="AL127" s="88">
        <v>88</v>
      </c>
      <c r="AM127" s="88" t="s">
        <v>1705</v>
      </c>
      <c r="AN127" s="100" t="str">
        <f>HYPERLINK("https://www.youtube.com/watch?v=Y13-HG5cIMI")</f>
        <v>https://www.youtube.com/watch?v=Y13-HG5cIMI</v>
      </c>
      <c r="AO127" s="88" t="str">
        <f>REPLACE(INDEX(GroupVertices[Group],MATCH(Vertices[[#This Row],[Vertex]],GroupVertices[Vertex],0)),1,1,"")</f>
        <v>2</v>
      </c>
      <c r="AP127" s="48">
        <v>0</v>
      </c>
      <c r="AQ127" s="49">
        <v>0</v>
      </c>
      <c r="AR127" s="48">
        <v>0</v>
      </c>
      <c r="AS127" s="49">
        <v>0</v>
      </c>
      <c r="AT127" s="48">
        <v>0</v>
      </c>
      <c r="AU127" s="49">
        <v>0</v>
      </c>
      <c r="AV127" s="48">
        <v>1</v>
      </c>
      <c r="AW127" s="49">
        <v>100</v>
      </c>
      <c r="AX127" s="48">
        <v>1</v>
      </c>
      <c r="AY127" s="48"/>
      <c r="AZ127" s="48"/>
      <c r="BA127" s="48"/>
      <c r="BB127" s="48"/>
      <c r="BC127" s="2"/>
      <c r="BD127" s="3"/>
      <c r="BE127" s="3"/>
      <c r="BF127" s="3"/>
      <c r="BG127" s="3"/>
    </row>
    <row r="128" spans="1:59" ht="15">
      <c r="A128" s="65" t="s">
        <v>347</v>
      </c>
      <c r="B128" s="66"/>
      <c r="C128" s="66"/>
      <c r="D128" s="67">
        <v>249.50569833328936</v>
      </c>
      <c r="E128" s="69"/>
      <c r="F128" s="98" t="str">
        <f>HYPERLINK("https://i.ytimg.com/vi/Iy8Bt_V971o/default.jpg")</f>
        <v>https://i.ytimg.com/vi/Iy8Bt_V971o/default.jpg</v>
      </c>
      <c r="G128" s="66"/>
      <c r="H128" s="70" t="s">
        <v>630</v>
      </c>
      <c r="I128" s="71"/>
      <c r="J128" s="71" t="s">
        <v>159</v>
      </c>
      <c r="K128" s="70" t="s">
        <v>630</v>
      </c>
      <c r="L128" s="74">
        <v>909.9090909090909</v>
      </c>
      <c r="M128" s="75">
        <v>1316.041015625</v>
      </c>
      <c r="N128" s="75">
        <v>177.4234619140625</v>
      </c>
      <c r="O128" s="76"/>
      <c r="P128" s="77"/>
      <c r="Q128" s="77"/>
      <c r="R128" s="91"/>
      <c r="S128" s="48">
        <v>1</v>
      </c>
      <c r="T128" s="48">
        <v>0</v>
      </c>
      <c r="U128" s="49">
        <v>0</v>
      </c>
      <c r="V128" s="49">
        <v>0.000809</v>
      </c>
      <c r="W128" s="49">
        <v>0.002053</v>
      </c>
      <c r="X128" s="49">
        <v>0.382206</v>
      </c>
      <c r="Y128" s="49">
        <v>0</v>
      </c>
      <c r="Z128" s="49">
        <v>0</v>
      </c>
      <c r="AA128" s="72">
        <v>128</v>
      </c>
      <c r="AB128" s="72"/>
      <c r="AC128" s="73"/>
      <c r="AD128" s="88" t="s">
        <v>630</v>
      </c>
      <c r="AE128" s="88" t="s">
        <v>906</v>
      </c>
      <c r="AF128" s="88" t="s">
        <v>1173</v>
      </c>
      <c r="AG128" s="88" t="s">
        <v>1369</v>
      </c>
      <c r="AH128" s="88" t="s">
        <v>1549</v>
      </c>
      <c r="AI128" s="88">
        <v>1563976</v>
      </c>
      <c r="AJ128" s="88">
        <v>0</v>
      </c>
      <c r="AK128" s="88">
        <v>10353</v>
      </c>
      <c r="AL128" s="88">
        <v>2087</v>
      </c>
      <c r="AM128" s="88" t="s">
        <v>1705</v>
      </c>
      <c r="AN128" s="100" t="str">
        <f>HYPERLINK("https://www.youtube.com/watch?v=Iy8Bt_V971o")</f>
        <v>https://www.youtube.com/watch?v=Iy8Bt_V971o</v>
      </c>
      <c r="AO128" s="88" t="str">
        <f>REPLACE(INDEX(GroupVertices[Group],MATCH(Vertices[[#This Row],[Vertex]],GroupVertices[Vertex],0)),1,1,"")</f>
        <v>2</v>
      </c>
      <c r="AP128" s="48">
        <v>2</v>
      </c>
      <c r="AQ128" s="49">
        <v>4.545454545454546</v>
      </c>
      <c r="AR128" s="48">
        <v>1</v>
      </c>
      <c r="AS128" s="49">
        <v>2.272727272727273</v>
      </c>
      <c r="AT128" s="48">
        <v>0</v>
      </c>
      <c r="AU128" s="49">
        <v>0</v>
      </c>
      <c r="AV128" s="48">
        <v>41</v>
      </c>
      <c r="AW128" s="49">
        <v>93.18181818181819</v>
      </c>
      <c r="AX128" s="48">
        <v>44</v>
      </c>
      <c r="AY128" s="48"/>
      <c r="AZ128" s="48"/>
      <c r="BA128" s="48"/>
      <c r="BB128" s="48"/>
      <c r="BC128" s="2"/>
      <c r="BD128" s="3"/>
      <c r="BE128" s="3"/>
      <c r="BF128" s="3"/>
      <c r="BG128" s="3"/>
    </row>
    <row r="129" spans="1:59" ht="15">
      <c r="A129" s="65" t="s">
        <v>348</v>
      </c>
      <c r="B129" s="66"/>
      <c r="C129" s="66"/>
      <c r="D129" s="67">
        <v>84.69511183662391</v>
      </c>
      <c r="E129" s="69"/>
      <c r="F129" s="98" t="str">
        <f>HYPERLINK("https://i.ytimg.com/vi/mO_ZXI5QAto/default.jpg")</f>
        <v>https://i.ytimg.com/vi/mO_ZXI5QAto/default.jpg</v>
      </c>
      <c r="G129" s="66"/>
      <c r="H129" s="70" t="s">
        <v>631</v>
      </c>
      <c r="I129" s="71"/>
      <c r="J129" s="71" t="s">
        <v>159</v>
      </c>
      <c r="K129" s="70" t="s">
        <v>631</v>
      </c>
      <c r="L129" s="74">
        <v>909.9090909090909</v>
      </c>
      <c r="M129" s="75">
        <v>387.74505615234375</v>
      </c>
      <c r="N129" s="75">
        <v>841.318115234375</v>
      </c>
      <c r="O129" s="76"/>
      <c r="P129" s="77"/>
      <c r="Q129" s="77"/>
      <c r="R129" s="91"/>
      <c r="S129" s="48">
        <v>1</v>
      </c>
      <c r="T129" s="48">
        <v>0</v>
      </c>
      <c r="U129" s="49">
        <v>0</v>
      </c>
      <c r="V129" s="49">
        <v>0.000809</v>
      </c>
      <c r="W129" s="49">
        <v>0.002053</v>
      </c>
      <c r="X129" s="49">
        <v>0.382206</v>
      </c>
      <c r="Y129" s="49">
        <v>0</v>
      </c>
      <c r="Z129" s="49">
        <v>0</v>
      </c>
      <c r="AA129" s="72">
        <v>129</v>
      </c>
      <c r="AB129" s="72"/>
      <c r="AC129" s="73"/>
      <c r="AD129" s="88" t="s">
        <v>631</v>
      </c>
      <c r="AE129" s="88" t="s">
        <v>907</v>
      </c>
      <c r="AF129" s="88" t="s">
        <v>1174</v>
      </c>
      <c r="AG129" s="88" t="s">
        <v>1326</v>
      </c>
      <c r="AH129" s="88" t="s">
        <v>1550</v>
      </c>
      <c r="AI129" s="88">
        <v>43402</v>
      </c>
      <c r="AJ129" s="88">
        <v>223</v>
      </c>
      <c r="AK129" s="88">
        <v>220</v>
      </c>
      <c r="AL129" s="88">
        <v>47</v>
      </c>
      <c r="AM129" s="88" t="s">
        <v>1705</v>
      </c>
      <c r="AN129" s="100" t="str">
        <f>HYPERLINK("https://www.youtube.com/watch?v=mO_ZXI5QAto")</f>
        <v>https://www.youtube.com/watch?v=mO_ZXI5QAto</v>
      </c>
      <c r="AO129" s="88" t="str">
        <f>REPLACE(INDEX(GroupVertices[Group],MATCH(Vertices[[#This Row],[Vertex]],GroupVertices[Vertex],0)),1,1,"")</f>
        <v>2</v>
      </c>
      <c r="AP129" s="48">
        <v>0</v>
      </c>
      <c r="AQ129" s="49">
        <v>0</v>
      </c>
      <c r="AR129" s="48">
        <v>3</v>
      </c>
      <c r="AS129" s="49">
        <v>16.666666666666668</v>
      </c>
      <c r="AT129" s="48">
        <v>0</v>
      </c>
      <c r="AU129" s="49">
        <v>0</v>
      </c>
      <c r="AV129" s="48">
        <v>15</v>
      </c>
      <c r="AW129" s="49">
        <v>83.33333333333333</v>
      </c>
      <c r="AX129" s="48">
        <v>18</v>
      </c>
      <c r="AY129" s="48"/>
      <c r="AZ129" s="48"/>
      <c r="BA129" s="48"/>
      <c r="BB129" s="48"/>
      <c r="BC129" s="2"/>
      <c r="BD129" s="3"/>
      <c r="BE129" s="3"/>
      <c r="BF129" s="3"/>
      <c r="BG129" s="3"/>
    </row>
    <row r="130" spans="1:59" ht="15">
      <c r="A130" s="65" t="s">
        <v>349</v>
      </c>
      <c r="B130" s="66"/>
      <c r="C130" s="66"/>
      <c r="D130" s="67">
        <v>103.49138369782811</v>
      </c>
      <c r="E130" s="69"/>
      <c r="F130" s="98" t="str">
        <f>HYPERLINK("https://i.ytimg.com/vi/rz6p7YynVZI/default.jpg")</f>
        <v>https://i.ytimg.com/vi/rz6p7YynVZI/default.jpg</v>
      </c>
      <c r="G130" s="66"/>
      <c r="H130" s="70" t="s">
        <v>632</v>
      </c>
      <c r="I130" s="71"/>
      <c r="J130" s="71" t="s">
        <v>159</v>
      </c>
      <c r="K130" s="70" t="s">
        <v>632</v>
      </c>
      <c r="L130" s="74">
        <v>909.9090909090909</v>
      </c>
      <c r="M130" s="75">
        <v>581.6843872070312</v>
      </c>
      <c r="N130" s="75">
        <v>596.451416015625</v>
      </c>
      <c r="O130" s="76"/>
      <c r="P130" s="77"/>
      <c r="Q130" s="77"/>
      <c r="R130" s="91"/>
      <c r="S130" s="48">
        <v>1</v>
      </c>
      <c r="T130" s="48">
        <v>0</v>
      </c>
      <c r="U130" s="49">
        <v>0</v>
      </c>
      <c r="V130" s="49">
        <v>0.000809</v>
      </c>
      <c r="W130" s="49">
        <v>0.002053</v>
      </c>
      <c r="X130" s="49">
        <v>0.382206</v>
      </c>
      <c r="Y130" s="49">
        <v>0</v>
      </c>
      <c r="Z130" s="49">
        <v>0</v>
      </c>
      <c r="AA130" s="72">
        <v>130</v>
      </c>
      <c r="AB130" s="72"/>
      <c r="AC130" s="73"/>
      <c r="AD130" s="88" t="s">
        <v>632</v>
      </c>
      <c r="AE130" s="88" t="s">
        <v>908</v>
      </c>
      <c r="AF130" s="88" t="s">
        <v>1175</v>
      </c>
      <c r="AG130" s="88" t="s">
        <v>1370</v>
      </c>
      <c r="AH130" s="88" t="s">
        <v>1551</v>
      </c>
      <c r="AI130" s="88">
        <v>216820</v>
      </c>
      <c r="AJ130" s="88">
        <v>248</v>
      </c>
      <c r="AK130" s="88">
        <v>0</v>
      </c>
      <c r="AL130" s="88">
        <v>0</v>
      </c>
      <c r="AM130" s="88" t="s">
        <v>1705</v>
      </c>
      <c r="AN130" s="100" t="str">
        <f>HYPERLINK("https://www.youtube.com/watch?v=rz6p7YynVZI")</f>
        <v>https://www.youtube.com/watch?v=rz6p7YynVZI</v>
      </c>
      <c r="AO130" s="88" t="str">
        <f>REPLACE(INDEX(GroupVertices[Group],MATCH(Vertices[[#This Row],[Vertex]],GroupVertices[Vertex],0)),1,1,"")</f>
        <v>2</v>
      </c>
      <c r="AP130" s="48">
        <v>0</v>
      </c>
      <c r="AQ130" s="49">
        <v>0</v>
      </c>
      <c r="AR130" s="48">
        <v>0</v>
      </c>
      <c r="AS130" s="49">
        <v>0</v>
      </c>
      <c r="AT130" s="48">
        <v>0</v>
      </c>
      <c r="AU130" s="49">
        <v>0</v>
      </c>
      <c r="AV130" s="48">
        <v>28</v>
      </c>
      <c r="AW130" s="49">
        <v>100</v>
      </c>
      <c r="AX130" s="48">
        <v>28</v>
      </c>
      <c r="AY130" s="48"/>
      <c r="AZ130" s="48"/>
      <c r="BA130" s="48"/>
      <c r="BB130" s="48"/>
      <c r="BC130" s="2"/>
      <c r="BD130" s="3"/>
      <c r="BE130" s="3"/>
      <c r="BF130" s="3"/>
      <c r="BG130" s="3"/>
    </row>
    <row r="131" spans="1:59" ht="15">
      <c r="A131" s="65" t="s">
        <v>350</v>
      </c>
      <c r="B131" s="66"/>
      <c r="C131" s="66"/>
      <c r="D131" s="67">
        <v>211.9682152510999</v>
      </c>
      <c r="E131" s="69"/>
      <c r="F131" s="98" t="str">
        <f>HYPERLINK("https://i.ytimg.com/vi/bCYAXyssH9M/default.jpg")</f>
        <v>https://i.ytimg.com/vi/bCYAXyssH9M/default.jpg</v>
      </c>
      <c r="G131" s="66"/>
      <c r="H131" s="70" t="s">
        <v>633</v>
      </c>
      <c r="I131" s="71"/>
      <c r="J131" s="71" t="s">
        <v>159</v>
      </c>
      <c r="K131" s="70" t="s">
        <v>633</v>
      </c>
      <c r="L131" s="74">
        <v>909.9090909090909</v>
      </c>
      <c r="M131" s="75">
        <v>1587.0875244140625</v>
      </c>
      <c r="N131" s="75">
        <v>144.4942169189453</v>
      </c>
      <c r="O131" s="76"/>
      <c r="P131" s="77"/>
      <c r="Q131" s="77"/>
      <c r="R131" s="91"/>
      <c r="S131" s="48">
        <v>1</v>
      </c>
      <c r="T131" s="48">
        <v>0</v>
      </c>
      <c r="U131" s="49">
        <v>0</v>
      </c>
      <c r="V131" s="49">
        <v>0.000809</v>
      </c>
      <c r="W131" s="49">
        <v>0.002053</v>
      </c>
      <c r="X131" s="49">
        <v>0.382206</v>
      </c>
      <c r="Y131" s="49">
        <v>0</v>
      </c>
      <c r="Z131" s="49">
        <v>0</v>
      </c>
      <c r="AA131" s="72">
        <v>131</v>
      </c>
      <c r="AB131" s="72"/>
      <c r="AC131" s="73"/>
      <c r="AD131" s="88" t="s">
        <v>633</v>
      </c>
      <c r="AE131" s="88" t="s">
        <v>909</v>
      </c>
      <c r="AF131" s="88" t="s">
        <v>1176</v>
      </c>
      <c r="AG131" s="88" t="s">
        <v>1369</v>
      </c>
      <c r="AH131" s="88" t="s">
        <v>1552</v>
      </c>
      <c r="AI131" s="88">
        <v>1217648</v>
      </c>
      <c r="AJ131" s="88">
        <v>0</v>
      </c>
      <c r="AK131" s="88">
        <v>8562</v>
      </c>
      <c r="AL131" s="88">
        <v>1407</v>
      </c>
      <c r="AM131" s="88" t="s">
        <v>1705</v>
      </c>
      <c r="AN131" s="100" t="str">
        <f>HYPERLINK("https://www.youtube.com/watch?v=bCYAXyssH9M")</f>
        <v>https://www.youtube.com/watch?v=bCYAXyssH9M</v>
      </c>
      <c r="AO131" s="88" t="str">
        <f>REPLACE(INDEX(GroupVertices[Group],MATCH(Vertices[[#This Row],[Vertex]],GroupVertices[Vertex],0)),1,1,"")</f>
        <v>2</v>
      </c>
      <c r="AP131" s="48">
        <v>2</v>
      </c>
      <c r="AQ131" s="49">
        <v>6.896551724137931</v>
      </c>
      <c r="AR131" s="48">
        <v>0</v>
      </c>
      <c r="AS131" s="49">
        <v>0</v>
      </c>
      <c r="AT131" s="48">
        <v>0</v>
      </c>
      <c r="AU131" s="49">
        <v>0</v>
      </c>
      <c r="AV131" s="48">
        <v>27</v>
      </c>
      <c r="AW131" s="49">
        <v>93.10344827586206</v>
      </c>
      <c r="AX131" s="48">
        <v>29</v>
      </c>
      <c r="AY131" s="48"/>
      <c r="AZ131" s="48"/>
      <c r="BA131" s="48"/>
      <c r="BB131" s="48"/>
      <c r="BC131" s="2"/>
      <c r="BD131" s="3"/>
      <c r="BE131" s="3"/>
      <c r="BF131" s="3"/>
      <c r="BG131" s="3"/>
    </row>
    <row r="132" spans="1:59" ht="15">
      <c r="A132" s="65" t="s">
        <v>351</v>
      </c>
      <c r="B132" s="66"/>
      <c r="C132" s="66"/>
      <c r="D132" s="67">
        <v>1000</v>
      </c>
      <c r="E132" s="69"/>
      <c r="F132" s="98" t="str">
        <f>HYPERLINK("https://i.ytimg.com/vi/9Auq9mYxFEE/default_live.jpg")</f>
        <v>https://i.ytimg.com/vi/9Auq9mYxFEE/default_live.jpg</v>
      </c>
      <c r="G132" s="66"/>
      <c r="H132" s="70" t="s">
        <v>634</v>
      </c>
      <c r="I132" s="71"/>
      <c r="J132" s="71" t="s">
        <v>159</v>
      </c>
      <c r="K132" s="70" t="s">
        <v>634</v>
      </c>
      <c r="L132" s="74">
        <v>909.9090909090909</v>
      </c>
      <c r="M132" s="75">
        <v>204.01358032226562</v>
      </c>
      <c r="N132" s="75">
        <v>1446.53662109375</v>
      </c>
      <c r="O132" s="76"/>
      <c r="P132" s="77"/>
      <c r="Q132" s="77"/>
      <c r="R132" s="91"/>
      <c r="S132" s="48">
        <v>1</v>
      </c>
      <c r="T132" s="48">
        <v>0</v>
      </c>
      <c r="U132" s="49">
        <v>0</v>
      </c>
      <c r="V132" s="49">
        <v>0.000809</v>
      </c>
      <c r="W132" s="49">
        <v>0.002053</v>
      </c>
      <c r="X132" s="49">
        <v>0.382206</v>
      </c>
      <c r="Y132" s="49">
        <v>0</v>
      </c>
      <c r="Z132" s="49">
        <v>0</v>
      </c>
      <c r="AA132" s="72">
        <v>132</v>
      </c>
      <c r="AB132" s="72"/>
      <c r="AC132" s="73"/>
      <c r="AD132" s="88" t="s">
        <v>634</v>
      </c>
      <c r="AE132" s="88" t="s">
        <v>910</v>
      </c>
      <c r="AF132" s="88" t="s">
        <v>1177</v>
      </c>
      <c r="AG132" s="88" t="s">
        <v>1326</v>
      </c>
      <c r="AH132" s="88" t="s">
        <v>1553</v>
      </c>
      <c r="AI132" s="88">
        <v>112032089</v>
      </c>
      <c r="AJ132" s="88">
        <v>0</v>
      </c>
      <c r="AK132" s="88">
        <v>196021</v>
      </c>
      <c r="AL132" s="88">
        <v>42101</v>
      </c>
      <c r="AM132" s="88" t="s">
        <v>1705</v>
      </c>
      <c r="AN132" s="100" t="str">
        <f>HYPERLINK("https://www.youtube.com/watch?v=9Auq9mYxFEE")</f>
        <v>https://www.youtube.com/watch?v=9Auq9mYxFEE</v>
      </c>
      <c r="AO132" s="88" t="str">
        <f>REPLACE(INDEX(GroupVertices[Group],MATCH(Vertices[[#This Row],[Vertex]],GroupVertices[Vertex],0)),1,1,"")</f>
        <v>2</v>
      </c>
      <c r="AP132" s="48">
        <v>1</v>
      </c>
      <c r="AQ132" s="49">
        <v>1.4492753623188406</v>
      </c>
      <c r="AR132" s="48">
        <v>5</v>
      </c>
      <c r="AS132" s="49">
        <v>7.246376811594203</v>
      </c>
      <c r="AT132" s="48">
        <v>0</v>
      </c>
      <c r="AU132" s="49">
        <v>0</v>
      </c>
      <c r="AV132" s="48">
        <v>63</v>
      </c>
      <c r="AW132" s="49">
        <v>91.30434782608695</v>
      </c>
      <c r="AX132" s="48">
        <v>69</v>
      </c>
      <c r="AY132" s="48"/>
      <c r="AZ132" s="48"/>
      <c r="BA132" s="48"/>
      <c r="BB132" s="48"/>
      <c r="BC132" s="2"/>
      <c r="BD132" s="3"/>
      <c r="BE132" s="3"/>
      <c r="BF132" s="3"/>
      <c r="BG132" s="3"/>
    </row>
    <row r="133" spans="1:59" ht="15">
      <c r="A133" s="65" t="s">
        <v>352</v>
      </c>
      <c r="B133" s="66"/>
      <c r="C133" s="66"/>
      <c r="D133" s="67">
        <v>81.22325666439211</v>
      </c>
      <c r="E133" s="69"/>
      <c r="F133" s="98" t="str">
        <f>HYPERLINK("https://i.ytimg.com/vi/6X8CWynYhHg/default.jpg")</f>
        <v>https://i.ytimg.com/vi/6X8CWynYhHg/default.jpg</v>
      </c>
      <c r="G133" s="66"/>
      <c r="H133" s="70" t="s">
        <v>635</v>
      </c>
      <c r="I133" s="71"/>
      <c r="J133" s="71" t="s">
        <v>75</v>
      </c>
      <c r="K133" s="70" t="s">
        <v>635</v>
      </c>
      <c r="L133" s="74">
        <v>1818.8181818181818</v>
      </c>
      <c r="M133" s="75">
        <v>359.6155090332031</v>
      </c>
      <c r="N133" s="75">
        <v>8761.5478515625</v>
      </c>
      <c r="O133" s="76"/>
      <c r="P133" s="77"/>
      <c r="Q133" s="77"/>
      <c r="R133" s="91"/>
      <c r="S133" s="48">
        <v>2</v>
      </c>
      <c r="T133" s="48">
        <v>0</v>
      </c>
      <c r="U133" s="49">
        <v>87.856372</v>
      </c>
      <c r="V133" s="49">
        <v>0.000859</v>
      </c>
      <c r="W133" s="49">
        <v>0.004077</v>
      </c>
      <c r="X133" s="49">
        <v>0.629911</v>
      </c>
      <c r="Y133" s="49">
        <v>0</v>
      </c>
      <c r="Z133" s="49">
        <v>0</v>
      </c>
      <c r="AA133" s="72">
        <v>133</v>
      </c>
      <c r="AB133" s="72"/>
      <c r="AC133" s="73"/>
      <c r="AD133" s="88" t="s">
        <v>635</v>
      </c>
      <c r="AE133" s="88" t="s">
        <v>911</v>
      </c>
      <c r="AF133" s="88" t="s">
        <v>1178</v>
      </c>
      <c r="AG133" s="88" t="s">
        <v>1371</v>
      </c>
      <c r="AH133" s="88" t="s">
        <v>1554</v>
      </c>
      <c r="AI133" s="88">
        <v>11370</v>
      </c>
      <c r="AJ133" s="88">
        <v>0</v>
      </c>
      <c r="AK133" s="88">
        <v>143</v>
      </c>
      <c r="AL133" s="88">
        <v>24</v>
      </c>
      <c r="AM133" s="88" t="s">
        <v>1705</v>
      </c>
      <c r="AN133" s="100" t="str">
        <f>HYPERLINK("https://www.youtube.com/watch?v=6X8CWynYhHg")</f>
        <v>https://www.youtube.com/watch?v=6X8CWynYhHg</v>
      </c>
      <c r="AO133" s="88" t="str">
        <f>REPLACE(INDEX(GroupVertices[Group],MATCH(Vertices[[#This Row],[Vertex]],GroupVertices[Vertex],0)),1,1,"")</f>
        <v>1</v>
      </c>
      <c r="AP133" s="48">
        <v>1</v>
      </c>
      <c r="AQ133" s="49">
        <v>1.7241379310344827</v>
      </c>
      <c r="AR133" s="48">
        <v>2</v>
      </c>
      <c r="AS133" s="49">
        <v>3.4482758620689653</v>
      </c>
      <c r="AT133" s="48">
        <v>0</v>
      </c>
      <c r="AU133" s="49">
        <v>0</v>
      </c>
      <c r="AV133" s="48">
        <v>55</v>
      </c>
      <c r="AW133" s="49">
        <v>94.82758620689656</v>
      </c>
      <c r="AX133" s="48">
        <v>58</v>
      </c>
      <c r="AY133" s="48"/>
      <c r="AZ133" s="48"/>
      <c r="BA133" s="48"/>
      <c r="BB133" s="48"/>
      <c r="BC133" s="2"/>
      <c r="BD133" s="3"/>
      <c r="BE133" s="3"/>
      <c r="BF133" s="3"/>
      <c r="BG133" s="3"/>
    </row>
    <row r="134" spans="1:59" ht="15">
      <c r="A134" s="65" t="s">
        <v>353</v>
      </c>
      <c r="B134" s="66"/>
      <c r="C134" s="66"/>
      <c r="D134" s="67">
        <v>92.22400406404452</v>
      </c>
      <c r="E134" s="69"/>
      <c r="F134" s="98" t="str">
        <f>HYPERLINK("https://i.ytimg.com/vi/nuxxZVWTFk0/default.jpg")</f>
        <v>https://i.ytimg.com/vi/nuxxZVWTFk0/default.jpg</v>
      </c>
      <c r="G134" s="66"/>
      <c r="H134" s="70" t="s">
        <v>636</v>
      </c>
      <c r="I134" s="71"/>
      <c r="J134" s="71" t="s">
        <v>159</v>
      </c>
      <c r="K134" s="70" t="s">
        <v>636</v>
      </c>
      <c r="L134" s="74">
        <v>909.9090909090909</v>
      </c>
      <c r="M134" s="75">
        <v>2380.2158203125</v>
      </c>
      <c r="N134" s="75">
        <v>968.8653564453125</v>
      </c>
      <c r="O134" s="76"/>
      <c r="P134" s="77"/>
      <c r="Q134" s="77"/>
      <c r="R134" s="91"/>
      <c r="S134" s="48">
        <v>1</v>
      </c>
      <c r="T134" s="48">
        <v>0</v>
      </c>
      <c r="U134" s="49">
        <v>0</v>
      </c>
      <c r="V134" s="49">
        <v>0.000903</v>
      </c>
      <c r="W134" s="49">
        <v>0.00389</v>
      </c>
      <c r="X134" s="49">
        <v>0.3604</v>
      </c>
      <c r="Y134" s="49">
        <v>0</v>
      </c>
      <c r="Z134" s="49">
        <v>0</v>
      </c>
      <c r="AA134" s="72">
        <v>134</v>
      </c>
      <c r="AB134" s="72"/>
      <c r="AC134" s="73"/>
      <c r="AD134" s="88" t="s">
        <v>636</v>
      </c>
      <c r="AE134" s="88" t="s">
        <v>912</v>
      </c>
      <c r="AF134" s="88" t="s">
        <v>1179</v>
      </c>
      <c r="AG134" s="88" t="s">
        <v>1356</v>
      </c>
      <c r="AH134" s="88" t="s">
        <v>1555</v>
      </c>
      <c r="AI134" s="88">
        <v>112865</v>
      </c>
      <c r="AJ134" s="88">
        <v>437</v>
      </c>
      <c r="AK134" s="88">
        <v>1756</v>
      </c>
      <c r="AL134" s="88">
        <v>65</v>
      </c>
      <c r="AM134" s="88" t="s">
        <v>1705</v>
      </c>
      <c r="AN134" s="100" t="str">
        <f>HYPERLINK("https://www.youtube.com/watch?v=nuxxZVWTFk0")</f>
        <v>https://www.youtube.com/watch?v=nuxxZVWTFk0</v>
      </c>
      <c r="AO134" s="88" t="str">
        <f>REPLACE(INDEX(GroupVertices[Group],MATCH(Vertices[[#This Row],[Vertex]],GroupVertices[Vertex],0)),1,1,"")</f>
        <v>2</v>
      </c>
      <c r="AP134" s="48">
        <v>3</v>
      </c>
      <c r="AQ134" s="49">
        <v>20</v>
      </c>
      <c r="AR134" s="48">
        <v>2</v>
      </c>
      <c r="AS134" s="49">
        <v>13.333333333333334</v>
      </c>
      <c r="AT134" s="48">
        <v>0</v>
      </c>
      <c r="AU134" s="49">
        <v>0</v>
      </c>
      <c r="AV134" s="48">
        <v>10</v>
      </c>
      <c r="AW134" s="49">
        <v>66.66666666666667</v>
      </c>
      <c r="AX134" s="48">
        <v>15</v>
      </c>
      <c r="AY134" s="48"/>
      <c r="AZ134" s="48"/>
      <c r="BA134" s="48"/>
      <c r="BB134" s="48"/>
      <c r="BC134" s="2"/>
      <c r="BD134" s="3"/>
      <c r="BE134" s="3"/>
      <c r="BF134" s="3"/>
      <c r="BG134" s="3"/>
    </row>
    <row r="135" spans="1:59" ht="15">
      <c r="A135" s="65" t="s">
        <v>354</v>
      </c>
      <c r="B135" s="66"/>
      <c r="C135" s="66"/>
      <c r="D135" s="67">
        <v>81.93297531036407</v>
      </c>
      <c r="E135" s="69"/>
      <c r="F135" s="98" t="str">
        <f>HYPERLINK("https://i.ytimg.com/vi/DNtF8NLUkPA/default.jpg")</f>
        <v>https://i.ytimg.com/vi/DNtF8NLUkPA/default.jpg</v>
      </c>
      <c r="G135" s="66"/>
      <c r="H135" s="70" t="s">
        <v>637</v>
      </c>
      <c r="I135" s="71"/>
      <c r="J135" s="71" t="s">
        <v>159</v>
      </c>
      <c r="K135" s="70" t="s">
        <v>637</v>
      </c>
      <c r="L135" s="74">
        <v>909.9090909090909</v>
      </c>
      <c r="M135" s="75">
        <v>2631.04345703125</v>
      </c>
      <c r="N135" s="75">
        <v>1059.871826171875</v>
      </c>
      <c r="O135" s="76"/>
      <c r="P135" s="77"/>
      <c r="Q135" s="77"/>
      <c r="R135" s="91"/>
      <c r="S135" s="48">
        <v>1</v>
      </c>
      <c r="T135" s="48">
        <v>0</v>
      </c>
      <c r="U135" s="49">
        <v>0</v>
      </c>
      <c r="V135" s="49">
        <v>0.000903</v>
      </c>
      <c r="W135" s="49">
        <v>0.00389</v>
      </c>
      <c r="X135" s="49">
        <v>0.3604</v>
      </c>
      <c r="Y135" s="49">
        <v>0</v>
      </c>
      <c r="Z135" s="49">
        <v>0</v>
      </c>
      <c r="AA135" s="72">
        <v>135</v>
      </c>
      <c r="AB135" s="72"/>
      <c r="AC135" s="73"/>
      <c r="AD135" s="88" t="s">
        <v>637</v>
      </c>
      <c r="AE135" s="88" t="s">
        <v>913</v>
      </c>
      <c r="AF135" s="88" t="s">
        <v>1180</v>
      </c>
      <c r="AG135" s="88" t="s">
        <v>1356</v>
      </c>
      <c r="AH135" s="88" t="s">
        <v>1556</v>
      </c>
      <c r="AI135" s="88">
        <v>17918</v>
      </c>
      <c r="AJ135" s="88">
        <v>61</v>
      </c>
      <c r="AK135" s="88">
        <v>402</v>
      </c>
      <c r="AL135" s="88">
        <v>9</v>
      </c>
      <c r="AM135" s="88" t="s">
        <v>1705</v>
      </c>
      <c r="AN135" s="100" t="str">
        <f>HYPERLINK("https://www.youtube.com/watch?v=DNtF8NLUkPA")</f>
        <v>https://www.youtube.com/watch?v=DNtF8NLUkPA</v>
      </c>
      <c r="AO135" s="88" t="str">
        <f>REPLACE(INDEX(GroupVertices[Group],MATCH(Vertices[[#This Row],[Vertex]],GroupVertices[Vertex],0)),1,1,"")</f>
        <v>2</v>
      </c>
      <c r="AP135" s="48">
        <v>0</v>
      </c>
      <c r="AQ135" s="49">
        <v>0</v>
      </c>
      <c r="AR135" s="48">
        <v>1</v>
      </c>
      <c r="AS135" s="49">
        <v>3.5714285714285716</v>
      </c>
      <c r="AT135" s="48">
        <v>0</v>
      </c>
      <c r="AU135" s="49">
        <v>0</v>
      </c>
      <c r="AV135" s="48">
        <v>27</v>
      </c>
      <c r="AW135" s="49">
        <v>96.42857142857143</v>
      </c>
      <c r="AX135" s="48">
        <v>28</v>
      </c>
      <c r="AY135" s="48"/>
      <c r="AZ135" s="48"/>
      <c r="BA135" s="48"/>
      <c r="BB135" s="48"/>
      <c r="BC135" s="2"/>
      <c r="BD135" s="3"/>
      <c r="BE135" s="3"/>
      <c r="BF135" s="3"/>
      <c r="BG135" s="3"/>
    </row>
    <row r="136" spans="1:59" ht="15">
      <c r="A136" s="65" t="s">
        <v>355</v>
      </c>
      <c r="B136" s="66"/>
      <c r="C136" s="66"/>
      <c r="D136" s="67">
        <v>754.4455859123177</v>
      </c>
      <c r="E136" s="69"/>
      <c r="F136" s="98" t="str">
        <f>HYPERLINK("https://i.ytimg.com/vi/Xt_SqI1RQig/default.jpg")</f>
        <v>https://i.ytimg.com/vi/Xt_SqI1RQig/default.jpg</v>
      </c>
      <c r="G136" s="66"/>
      <c r="H136" s="70" t="s">
        <v>638</v>
      </c>
      <c r="I136" s="71"/>
      <c r="J136" s="71" t="s">
        <v>159</v>
      </c>
      <c r="K136" s="70" t="s">
        <v>638</v>
      </c>
      <c r="L136" s="74">
        <v>909.9090909090909</v>
      </c>
      <c r="M136" s="75">
        <v>2730.77099609375</v>
      </c>
      <c r="N136" s="75">
        <v>1353.648193359375</v>
      </c>
      <c r="O136" s="76"/>
      <c r="P136" s="77"/>
      <c r="Q136" s="77"/>
      <c r="R136" s="91"/>
      <c r="S136" s="48">
        <v>1</v>
      </c>
      <c r="T136" s="48">
        <v>0</v>
      </c>
      <c r="U136" s="49">
        <v>0</v>
      </c>
      <c r="V136" s="49">
        <v>0.000903</v>
      </c>
      <c r="W136" s="49">
        <v>0.00389</v>
      </c>
      <c r="X136" s="49">
        <v>0.3604</v>
      </c>
      <c r="Y136" s="49">
        <v>0</v>
      </c>
      <c r="Z136" s="49">
        <v>0</v>
      </c>
      <c r="AA136" s="72">
        <v>136</v>
      </c>
      <c r="AB136" s="72"/>
      <c r="AC136" s="73"/>
      <c r="AD136" s="88" t="s">
        <v>638</v>
      </c>
      <c r="AE136" s="88" t="s">
        <v>914</v>
      </c>
      <c r="AF136" s="88" t="s">
        <v>1181</v>
      </c>
      <c r="AG136" s="88" t="s">
        <v>1356</v>
      </c>
      <c r="AH136" s="88" t="s">
        <v>1557</v>
      </c>
      <c r="AI136" s="88">
        <v>6222648</v>
      </c>
      <c r="AJ136" s="88">
        <v>11597</v>
      </c>
      <c r="AK136" s="88">
        <v>40668</v>
      </c>
      <c r="AL136" s="88">
        <v>8922</v>
      </c>
      <c r="AM136" s="88" t="s">
        <v>1705</v>
      </c>
      <c r="AN136" s="100" t="str">
        <f>HYPERLINK("https://www.youtube.com/watch?v=Xt_SqI1RQig")</f>
        <v>https://www.youtube.com/watch?v=Xt_SqI1RQig</v>
      </c>
      <c r="AO136" s="88" t="str">
        <f>REPLACE(INDEX(GroupVertices[Group],MATCH(Vertices[[#This Row],[Vertex]],GroupVertices[Vertex],0)),1,1,"")</f>
        <v>2</v>
      </c>
      <c r="AP136" s="48">
        <v>0</v>
      </c>
      <c r="AQ136" s="49">
        <v>0</v>
      </c>
      <c r="AR136" s="48">
        <v>3</v>
      </c>
      <c r="AS136" s="49">
        <v>10.344827586206897</v>
      </c>
      <c r="AT136" s="48">
        <v>0</v>
      </c>
      <c r="AU136" s="49">
        <v>0</v>
      </c>
      <c r="AV136" s="48">
        <v>26</v>
      </c>
      <c r="AW136" s="49">
        <v>89.65517241379311</v>
      </c>
      <c r="AX136" s="48">
        <v>29</v>
      </c>
      <c r="AY136" s="48"/>
      <c r="AZ136" s="48"/>
      <c r="BA136" s="48"/>
      <c r="BB136" s="48"/>
      <c r="BC136" s="2"/>
      <c r="BD136" s="3"/>
      <c r="BE136" s="3"/>
      <c r="BF136" s="3"/>
      <c r="BG136" s="3"/>
    </row>
    <row r="137" spans="1:59" ht="15">
      <c r="A137" s="65" t="s">
        <v>356</v>
      </c>
      <c r="B137" s="66"/>
      <c r="C137" s="66"/>
      <c r="D137" s="67">
        <v>84.75700086332671</v>
      </c>
      <c r="E137" s="69"/>
      <c r="F137" s="98" t="str">
        <f>HYPERLINK("https://i.ytimg.com/vi/2uP7VUwJ05E/default.jpg")</f>
        <v>https://i.ytimg.com/vi/2uP7VUwJ05E/default.jpg</v>
      </c>
      <c r="G137" s="66"/>
      <c r="H137" s="70" t="s">
        <v>639</v>
      </c>
      <c r="I137" s="71"/>
      <c r="J137" s="71" t="s">
        <v>159</v>
      </c>
      <c r="K137" s="70" t="s">
        <v>639</v>
      </c>
      <c r="L137" s="74">
        <v>909.9090909090909</v>
      </c>
      <c r="M137" s="75">
        <v>2945.077392578125</v>
      </c>
      <c r="N137" s="75">
        <v>1533.584228515625</v>
      </c>
      <c r="O137" s="76"/>
      <c r="P137" s="77"/>
      <c r="Q137" s="77"/>
      <c r="R137" s="91"/>
      <c r="S137" s="48">
        <v>1</v>
      </c>
      <c r="T137" s="48">
        <v>0</v>
      </c>
      <c r="U137" s="49">
        <v>0</v>
      </c>
      <c r="V137" s="49">
        <v>0.000903</v>
      </c>
      <c r="W137" s="49">
        <v>0.00389</v>
      </c>
      <c r="X137" s="49">
        <v>0.3604</v>
      </c>
      <c r="Y137" s="49">
        <v>0</v>
      </c>
      <c r="Z137" s="49">
        <v>0</v>
      </c>
      <c r="AA137" s="72">
        <v>137</v>
      </c>
      <c r="AB137" s="72"/>
      <c r="AC137" s="73"/>
      <c r="AD137" s="88" t="s">
        <v>639</v>
      </c>
      <c r="AE137" s="88" t="s">
        <v>915</v>
      </c>
      <c r="AF137" s="88" t="s">
        <v>1182</v>
      </c>
      <c r="AG137" s="88" t="s">
        <v>1372</v>
      </c>
      <c r="AH137" s="88" t="s">
        <v>1558</v>
      </c>
      <c r="AI137" s="88">
        <v>43973</v>
      </c>
      <c r="AJ137" s="88">
        <v>298</v>
      </c>
      <c r="AK137" s="88">
        <v>401</v>
      </c>
      <c r="AL137" s="88">
        <v>90</v>
      </c>
      <c r="AM137" s="88" t="s">
        <v>1705</v>
      </c>
      <c r="AN137" s="100" t="str">
        <f>HYPERLINK("https://www.youtube.com/watch?v=2uP7VUwJ05E")</f>
        <v>https://www.youtube.com/watch?v=2uP7VUwJ05E</v>
      </c>
      <c r="AO137" s="88" t="str">
        <f>REPLACE(INDEX(GroupVertices[Group],MATCH(Vertices[[#This Row],[Vertex]],GroupVertices[Vertex],0)),1,1,"")</f>
        <v>2</v>
      </c>
      <c r="AP137" s="48">
        <v>0</v>
      </c>
      <c r="AQ137" s="49">
        <v>0</v>
      </c>
      <c r="AR137" s="48">
        <v>3</v>
      </c>
      <c r="AS137" s="49">
        <v>10.344827586206897</v>
      </c>
      <c r="AT137" s="48">
        <v>0</v>
      </c>
      <c r="AU137" s="49">
        <v>0</v>
      </c>
      <c r="AV137" s="48">
        <v>26</v>
      </c>
      <c r="AW137" s="49">
        <v>89.65517241379311</v>
      </c>
      <c r="AX137" s="48">
        <v>29</v>
      </c>
      <c r="AY137" s="48"/>
      <c r="AZ137" s="48"/>
      <c r="BA137" s="48"/>
      <c r="BB137" s="48"/>
      <c r="BC137" s="2"/>
      <c r="BD137" s="3"/>
      <c r="BE137" s="3"/>
      <c r="BF137" s="3"/>
      <c r="BG137" s="3"/>
    </row>
    <row r="138" spans="1:59" ht="15">
      <c r="A138" s="65" t="s">
        <v>357</v>
      </c>
      <c r="B138" s="66"/>
      <c r="C138" s="66"/>
      <c r="D138" s="67">
        <v>80.93245410984984</v>
      </c>
      <c r="E138" s="69"/>
      <c r="F138" s="98" t="str">
        <f>HYPERLINK("https://i.ytimg.com/vi/A8zT1-U2Zlo/default.jpg")</f>
        <v>https://i.ytimg.com/vi/A8zT1-U2Zlo/default.jpg</v>
      </c>
      <c r="G138" s="66"/>
      <c r="H138" s="70" t="s">
        <v>640</v>
      </c>
      <c r="I138" s="71"/>
      <c r="J138" s="71" t="s">
        <v>159</v>
      </c>
      <c r="K138" s="70" t="s">
        <v>640</v>
      </c>
      <c r="L138" s="74">
        <v>909.9090909090909</v>
      </c>
      <c r="M138" s="75">
        <v>3045.279541015625</v>
      </c>
      <c r="N138" s="75">
        <v>1877.663818359375</v>
      </c>
      <c r="O138" s="76"/>
      <c r="P138" s="77"/>
      <c r="Q138" s="77"/>
      <c r="R138" s="91"/>
      <c r="S138" s="48">
        <v>1</v>
      </c>
      <c r="T138" s="48">
        <v>0</v>
      </c>
      <c r="U138" s="49">
        <v>0</v>
      </c>
      <c r="V138" s="49">
        <v>0.000903</v>
      </c>
      <c r="W138" s="49">
        <v>0.00389</v>
      </c>
      <c r="X138" s="49">
        <v>0.3604</v>
      </c>
      <c r="Y138" s="49">
        <v>0</v>
      </c>
      <c r="Z138" s="49">
        <v>0</v>
      </c>
      <c r="AA138" s="72">
        <v>138</v>
      </c>
      <c r="AB138" s="72"/>
      <c r="AC138" s="73"/>
      <c r="AD138" s="88" t="s">
        <v>640</v>
      </c>
      <c r="AE138" s="88" t="s">
        <v>916</v>
      </c>
      <c r="AF138" s="88" t="s">
        <v>1183</v>
      </c>
      <c r="AG138" s="88" t="s">
        <v>1356</v>
      </c>
      <c r="AH138" s="88" t="s">
        <v>1559</v>
      </c>
      <c r="AI138" s="88">
        <v>8687</v>
      </c>
      <c r="AJ138" s="88">
        <v>31</v>
      </c>
      <c r="AK138" s="88">
        <v>232</v>
      </c>
      <c r="AL138" s="88">
        <v>9</v>
      </c>
      <c r="AM138" s="88" t="s">
        <v>1705</v>
      </c>
      <c r="AN138" s="100" t="str">
        <f>HYPERLINK("https://www.youtube.com/watch?v=A8zT1-U2Zlo")</f>
        <v>https://www.youtube.com/watch?v=A8zT1-U2Zlo</v>
      </c>
      <c r="AO138" s="88" t="str">
        <f>REPLACE(INDEX(GroupVertices[Group],MATCH(Vertices[[#This Row],[Vertex]],GroupVertices[Vertex],0)),1,1,"")</f>
        <v>2</v>
      </c>
      <c r="AP138" s="48">
        <v>0</v>
      </c>
      <c r="AQ138" s="49">
        <v>0</v>
      </c>
      <c r="AR138" s="48">
        <v>2</v>
      </c>
      <c r="AS138" s="49">
        <v>5.714285714285714</v>
      </c>
      <c r="AT138" s="48">
        <v>0</v>
      </c>
      <c r="AU138" s="49">
        <v>0</v>
      </c>
      <c r="AV138" s="48">
        <v>33</v>
      </c>
      <c r="AW138" s="49">
        <v>94.28571428571429</v>
      </c>
      <c r="AX138" s="48">
        <v>35</v>
      </c>
      <c r="AY138" s="48"/>
      <c r="AZ138" s="48"/>
      <c r="BA138" s="48"/>
      <c r="BB138" s="48"/>
      <c r="BC138" s="2"/>
      <c r="BD138" s="3"/>
      <c r="BE138" s="3"/>
      <c r="BF138" s="3"/>
      <c r="BG138" s="3"/>
    </row>
    <row r="139" spans="1:59" ht="15">
      <c r="A139" s="65" t="s">
        <v>225</v>
      </c>
      <c r="B139" s="66"/>
      <c r="C139" s="66"/>
      <c r="D139" s="67">
        <v>93.02205818595831</v>
      </c>
      <c r="E139" s="69"/>
      <c r="F139" s="98" t="str">
        <f>HYPERLINK("https://i.ytimg.com/vi/G1RvjRO3D7U/default.jpg")</f>
        <v>https://i.ytimg.com/vi/G1RvjRO3D7U/default.jpg</v>
      </c>
      <c r="G139" s="66"/>
      <c r="H139" s="70" t="s">
        <v>641</v>
      </c>
      <c r="I139" s="71"/>
      <c r="J139" s="71" t="s">
        <v>159</v>
      </c>
      <c r="K139" s="70" t="s">
        <v>641</v>
      </c>
      <c r="L139" s="74">
        <v>1</v>
      </c>
      <c r="M139" s="75">
        <v>2406.179931640625</v>
      </c>
      <c r="N139" s="75">
        <v>8169.06201171875</v>
      </c>
      <c r="O139" s="76"/>
      <c r="P139" s="77"/>
      <c r="Q139" s="77"/>
      <c r="R139" s="91"/>
      <c r="S139" s="48">
        <v>0</v>
      </c>
      <c r="T139" s="48">
        <v>20</v>
      </c>
      <c r="U139" s="49">
        <v>6090.578853</v>
      </c>
      <c r="V139" s="49">
        <v>0.001043</v>
      </c>
      <c r="W139" s="49">
        <v>0.018621</v>
      </c>
      <c r="X139" s="49">
        <v>5.712639</v>
      </c>
      <c r="Y139" s="49">
        <v>0.013157894736842105</v>
      </c>
      <c r="Z139" s="49">
        <v>0</v>
      </c>
      <c r="AA139" s="72">
        <v>139</v>
      </c>
      <c r="AB139" s="72"/>
      <c r="AC139" s="73"/>
      <c r="AD139" s="88" t="s">
        <v>641</v>
      </c>
      <c r="AE139" s="88" t="s">
        <v>917</v>
      </c>
      <c r="AF139" s="88" t="s">
        <v>1184</v>
      </c>
      <c r="AG139" s="88" t="s">
        <v>1327</v>
      </c>
      <c r="AH139" s="88" t="s">
        <v>1560</v>
      </c>
      <c r="AI139" s="88">
        <v>120228</v>
      </c>
      <c r="AJ139" s="88">
        <v>746</v>
      </c>
      <c r="AK139" s="88">
        <v>565</v>
      </c>
      <c r="AL139" s="88">
        <v>607</v>
      </c>
      <c r="AM139" s="88" t="s">
        <v>1705</v>
      </c>
      <c r="AN139" s="100" t="str">
        <f>HYPERLINK("https://www.youtube.com/watch?v=G1RvjRO3D7U")</f>
        <v>https://www.youtube.com/watch?v=G1RvjRO3D7U</v>
      </c>
      <c r="AO139" s="88" t="str">
        <f>REPLACE(INDEX(GroupVertices[Group],MATCH(Vertices[[#This Row],[Vertex]],GroupVertices[Vertex],0)),1,1,"")</f>
        <v>1</v>
      </c>
      <c r="AP139" s="48">
        <v>0</v>
      </c>
      <c r="AQ139" s="49">
        <v>0</v>
      </c>
      <c r="AR139" s="48">
        <v>0</v>
      </c>
      <c r="AS139" s="49">
        <v>0</v>
      </c>
      <c r="AT139" s="48">
        <v>0</v>
      </c>
      <c r="AU139" s="49">
        <v>0</v>
      </c>
      <c r="AV139" s="48">
        <v>12</v>
      </c>
      <c r="AW139" s="49">
        <v>100</v>
      </c>
      <c r="AX139" s="48">
        <v>12</v>
      </c>
      <c r="AY139" s="121" t="s">
        <v>2747</v>
      </c>
      <c r="AZ139" s="121" t="s">
        <v>2747</v>
      </c>
      <c r="BA139" s="121" t="s">
        <v>2747</v>
      </c>
      <c r="BB139" s="121" t="s">
        <v>2747</v>
      </c>
      <c r="BC139" s="2"/>
      <c r="BD139" s="3"/>
      <c r="BE139" s="3"/>
      <c r="BF139" s="3"/>
      <c r="BG139" s="3"/>
    </row>
    <row r="140" spans="1:59" ht="15">
      <c r="A140" s="65" t="s">
        <v>358</v>
      </c>
      <c r="B140" s="66"/>
      <c r="C140" s="66"/>
      <c r="D140" s="67">
        <v>88.80027275846079</v>
      </c>
      <c r="E140" s="69"/>
      <c r="F140" s="98" t="str">
        <f>HYPERLINK("https://i.ytimg.com/vi/GtwCa9btrho/default.jpg")</f>
        <v>https://i.ytimg.com/vi/GtwCa9btrho/default.jpg</v>
      </c>
      <c r="G140" s="66"/>
      <c r="H140" s="70" t="s">
        <v>642</v>
      </c>
      <c r="I140" s="71"/>
      <c r="J140" s="71" t="s">
        <v>159</v>
      </c>
      <c r="K140" s="70" t="s">
        <v>642</v>
      </c>
      <c r="L140" s="74">
        <v>909.9090909090909</v>
      </c>
      <c r="M140" s="75">
        <v>2700.208984375</v>
      </c>
      <c r="N140" s="75">
        <v>9107.5322265625</v>
      </c>
      <c r="O140" s="76"/>
      <c r="P140" s="77"/>
      <c r="Q140" s="77"/>
      <c r="R140" s="91"/>
      <c r="S140" s="48">
        <v>1</v>
      </c>
      <c r="T140" s="48">
        <v>0</v>
      </c>
      <c r="U140" s="49">
        <v>0</v>
      </c>
      <c r="V140" s="49">
        <v>0.000808</v>
      </c>
      <c r="W140" s="49">
        <v>0.001875</v>
      </c>
      <c r="X140" s="49">
        <v>0.392787</v>
      </c>
      <c r="Y140" s="49">
        <v>0</v>
      </c>
      <c r="Z140" s="49">
        <v>0</v>
      </c>
      <c r="AA140" s="72">
        <v>140</v>
      </c>
      <c r="AB140" s="72"/>
      <c r="AC140" s="73"/>
      <c r="AD140" s="88" t="s">
        <v>642</v>
      </c>
      <c r="AE140" s="88" t="s">
        <v>918</v>
      </c>
      <c r="AF140" s="88" t="s">
        <v>1185</v>
      </c>
      <c r="AG140" s="88" t="s">
        <v>1327</v>
      </c>
      <c r="AH140" s="88" t="s">
        <v>1561</v>
      </c>
      <c r="AI140" s="88">
        <v>81277</v>
      </c>
      <c r="AJ140" s="88">
        <v>318</v>
      </c>
      <c r="AK140" s="88">
        <v>1920</v>
      </c>
      <c r="AL140" s="88">
        <v>66</v>
      </c>
      <c r="AM140" s="88" t="s">
        <v>1705</v>
      </c>
      <c r="AN140" s="100" t="str">
        <f>HYPERLINK("https://www.youtube.com/watch?v=GtwCa9btrho")</f>
        <v>https://www.youtube.com/watch?v=GtwCa9btrho</v>
      </c>
      <c r="AO140" s="88" t="str">
        <f>REPLACE(INDEX(GroupVertices[Group],MATCH(Vertices[[#This Row],[Vertex]],GroupVertices[Vertex],0)),1,1,"")</f>
        <v>1</v>
      </c>
      <c r="AP140" s="48">
        <v>1</v>
      </c>
      <c r="AQ140" s="49">
        <v>6.25</v>
      </c>
      <c r="AR140" s="48">
        <v>0</v>
      </c>
      <c r="AS140" s="49">
        <v>0</v>
      </c>
      <c r="AT140" s="48">
        <v>0</v>
      </c>
      <c r="AU140" s="49">
        <v>0</v>
      </c>
      <c r="AV140" s="48">
        <v>15</v>
      </c>
      <c r="AW140" s="49">
        <v>93.75</v>
      </c>
      <c r="AX140" s="48">
        <v>16</v>
      </c>
      <c r="AY140" s="48"/>
      <c r="AZ140" s="48"/>
      <c r="BA140" s="48"/>
      <c r="BB140" s="48"/>
      <c r="BC140" s="2"/>
      <c r="BD140" s="3"/>
      <c r="BE140" s="3"/>
      <c r="BF140" s="3"/>
      <c r="BG140" s="3"/>
    </row>
    <row r="141" spans="1:59" ht="15">
      <c r="A141" s="65" t="s">
        <v>359</v>
      </c>
      <c r="B141" s="66"/>
      <c r="C141" s="66"/>
      <c r="D141" s="67">
        <v>198.347643570478</v>
      </c>
      <c r="E141" s="69"/>
      <c r="F141" s="98" t="str">
        <f>HYPERLINK("https://i.ytimg.com/vi/74FAukRj2so/default.jpg")</f>
        <v>https://i.ytimg.com/vi/74FAukRj2so/default.jpg</v>
      </c>
      <c r="G141" s="66"/>
      <c r="H141" s="70" t="s">
        <v>643</v>
      </c>
      <c r="I141" s="71"/>
      <c r="J141" s="71" t="s">
        <v>159</v>
      </c>
      <c r="K141" s="70" t="s">
        <v>643</v>
      </c>
      <c r="L141" s="74">
        <v>909.9090909090909</v>
      </c>
      <c r="M141" s="75">
        <v>3216.23876953125</v>
      </c>
      <c r="N141" s="75">
        <v>7719.20654296875</v>
      </c>
      <c r="O141" s="76"/>
      <c r="P141" s="77"/>
      <c r="Q141" s="77"/>
      <c r="R141" s="91"/>
      <c r="S141" s="48">
        <v>1</v>
      </c>
      <c r="T141" s="48">
        <v>0</v>
      </c>
      <c r="U141" s="49">
        <v>0</v>
      </c>
      <c r="V141" s="49">
        <v>0.000808</v>
      </c>
      <c r="W141" s="49">
        <v>0.001875</v>
      </c>
      <c r="X141" s="49">
        <v>0.392787</v>
      </c>
      <c r="Y141" s="49">
        <v>0</v>
      </c>
      <c r="Z141" s="49">
        <v>0</v>
      </c>
      <c r="AA141" s="72">
        <v>141</v>
      </c>
      <c r="AB141" s="72"/>
      <c r="AC141" s="73"/>
      <c r="AD141" s="88" t="s">
        <v>643</v>
      </c>
      <c r="AE141" s="88" t="s">
        <v>919</v>
      </c>
      <c r="AF141" s="88" t="s">
        <v>1186</v>
      </c>
      <c r="AG141" s="88" t="s">
        <v>1327</v>
      </c>
      <c r="AH141" s="88" t="s">
        <v>1562</v>
      </c>
      <c r="AI141" s="88">
        <v>1091982</v>
      </c>
      <c r="AJ141" s="88">
        <v>2855</v>
      </c>
      <c r="AK141" s="88">
        <v>7658</v>
      </c>
      <c r="AL141" s="88">
        <v>829</v>
      </c>
      <c r="AM141" s="88" t="s">
        <v>1705</v>
      </c>
      <c r="AN141" s="100" t="str">
        <f>HYPERLINK("https://www.youtube.com/watch?v=74FAukRj2so")</f>
        <v>https://www.youtube.com/watch?v=74FAukRj2so</v>
      </c>
      <c r="AO141" s="88" t="str">
        <f>REPLACE(INDEX(GroupVertices[Group],MATCH(Vertices[[#This Row],[Vertex]],GroupVertices[Vertex],0)),1,1,"")</f>
        <v>1</v>
      </c>
      <c r="AP141" s="48">
        <v>2</v>
      </c>
      <c r="AQ141" s="49">
        <v>3.1746031746031744</v>
      </c>
      <c r="AR141" s="48">
        <v>7</v>
      </c>
      <c r="AS141" s="49">
        <v>11.11111111111111</v>
      </c>
      <c r="AT141" s="48">
        <v>0</v>
      </c>
      <c r="AU141" s="49">
        <v>0</v>
      </c>
      <c r="AV141" s="48">
        <v>54</v>
      </c>
      <c r="AW141" s="49">
        <v>85.71428571428571</v>
      </c>
      <c r="AX141" s="48">
        <v>63</v>
      </c>
      <c r="AY141" s="48"/>
      <c r="AZ141" s="48"/>
      <c r="BA141" s="48"/>
      <c r="BB141" s="48"/>
      <c r="BC141" s="2"/>
      <c r="BD141" s="3"/>
      <c r="BE141" s="3"/>
      <c r="BF141" s="3"/>
      <c r="BG141" s="3"/>
    </row>
    <row r="142" spans="1:59" ht="15">
      <c r="A142" s="65" t="s">
        <v>360</v>
      </c>
      <c r="B142" s="66"/>
      <c r="C142" s="66"/>
      <c r="D142" s="67">
        <v>118.32372301161533</v>
      </c>
      <c r="E142" s="69"/>
      <c r="F142" s="98" t="str">
        <f>HYPERLINK("https://i.ytimg.com/vi/_ugkWtoZLNE/default.jpg")</f>
        <v>https://i.ytimg.com/vi/_ugkWtoZLNE/default.jpg</v>
      </c>
      <c r="G142" s="66"/>
      <c r="H142" s="70" t="s">
        <v>644</v>
      </c>
      <c r="I142" s="71"/>
      <c r="J142" s="71" t="s">
        <v>159</v>
      </c>
      <c r="K142" s="70" t="s">
        <v>644</v>
      </c>
      <c r="L142" s="74">
        <v>909.9090909090909</v>
      </c>
      <c r="M142" s="75">
        <v>3199.686279296875</v>
      </c>
      <c r="N142" s="75">
        <v>8227.0927734375</v>
      </c>
      <c r="O142" s="76"/>
      <c r="P142" s="77"/>
      <c r="Q142" s="77"/>
      <c r="R142" s="91"/>
      <c r="S142" s="48">
        <v>1</v>
      </c>
      <c r="T142" s="48">
        <v>0</v>
      </c>
      <c r="U142" s="49">
        <v>0</v>
      </c>
      <c r="V142" s="49">
        <v>0.000808</v>
      </c>
      <c r="W142" s="49">
        <v>0.001875</v>
      </c>
      <c r="X142" s="49">
        <v>0.392787</v>
      </c>
      <c r="Y142" s="49">
        <v>0</v>
      </c>
      <c r="Z142" s="49">
        <v>0</v>
      </c>
      <c r="AA142" s="72">
        <v>142</v>
      </c>
      <c r="AB142" s="72"/>
      <c r="AC142" s="73"/>
      <c r="AD142" s="88" t="s">
        <v>644</v>
      </c>
      <c r="AE142" s="88" t="s">
        <v>920</v>
      </c>
      <c r="AF142" s="88" t="s">
        <v>1187</v>
      </c>
      <c r="AG142" s="88" t="s">
        <v>1329</v>
      </c>
      <c r="AH142" s="88" t="s">
        <v>1563</v>
      </c>
      <c r="AI142" s="88">
        <v>353666</v>
      </c>
      <c r="AJ142" s="88">
        <v>515</v>
      </c>
      <c r="AK142" s="88">
        <v>2418</v>
      </c>
      <c r="AL142" s="88">
        <v>185</v>
      </c>
      <c r="AM142" s="88" t="s">
        <v>1705</v>
      </c>
      <c r="AN142" s="100" t="str">
        <f>HYPERLINK("https://www.youtube.com/watch?v=_ugkWtoZLNE")</f>
        <v>https://www.youtube.com/watch?v=_ugkWtoZLNE</v>
      </c>
      <c r="AO142" s="88" t="str">
        <f>REPLACE(INDEX(GroupVertices[Group],MATCH(Vertices[[#This Row],[Vertex]],GroupVertices[Vertex],0)),1,1,"")</f>
        <v>1</v>
      </c>
      <c r="AP142" s="48">
        <v>0</v>
      </c>
      <c r="AQ142" s="49">
        <v>0</v>
      </c>
      <c r="AR142" s="48">
        <v>7</v>
      </c>
      <c r="AS142" s="49">
        <v>13.72549019607843</v>
      </c>
      <c r="AT142" s="48">
        <v>0</v>
      </c>
      <c r="AU142" s="49">
        <v>0</v>
      </c>
      <c r="AV142" s="48">
        <v>44</v>
      </c>
      <c r="AW142" s="49">
        <v>86.27450980392157</v>
      </c>
      <c r="AX142" s="48">
        <v>51</v>
      </c>
      <c r="AY142" s="48"/>
      <c r="AZ142" s="48"/>
      <c r="BA142" s="48"/>
      <c r="BB142" s="48"/>
      <c r="BC142" s="2"/>
      <c r="BD142" s="3"/>
      <c r="BE142" s="3"/>
      <c r="BF142" s="3"/>
      <c r="BG142" s="3"/>
    </row>
    <row r="143" spans="1:59" ht="15">
      <c r="A143" s="65" t="s">
        <v>361</v>
      </c>
      <c r="B143" s="66"/>
      <c r="C143" s="66"/>
      <c r="D143" s="67">
        <v>81.50809792914689</v>
      </c>
      <c r="E143" s="69"/>
      <c r="F143" s="98" t="str">
        <f>HYPERLINK("https://i.ytimg.com/vi/IWvxUdnf8-Q/default.jpg")</f>
        <v>https://i.ytimg.com/vi/IWvxUdnf8-Q/default.jpg</v>
      </c>
      <c r="G143" s="66"/>
      <c r="H143" s="70" t="s">
        <v>645</v>
      </c>
      <c r="I143" s="71"/>
      <c r="J143" s="71" t="s">
        <v>159</v>
      </c>
      <c r="K143" s="70" t="s">
        <v>645</v>
      </c>
      <c r="L143" s="74">
        <v>909.9090909090909</v>
      </c>
      <c r="M143" s="75">
        <v>2980.718994140625</v>
      </c>
      <c r="N143" s="75">
        <v>9129.259765625</v>
      </c>
      <c r="O143" s="76"/>
      <c r="P143" s="77"/>
      <c r="Q143" s="77"/>
      <c r="R143" s="91"/>
      <c r="S143" s="48">
        <v>1</v>
      </c>
      <c r="T143" s="48">
        <v>0</v>
      </c>
      <c r="U143" s="49">
        <v>0</v>
      </c>
      <c r="V143" s="49">
        <v>0.000808</v>
      </c>
      <c r="W143" s="49">
        <v>0.001875</v>
      </c>
      <c r="X143" s="49">
        <v>0.392787</v>
      </c>
      <c r="Y143" s="49">
        <v>0</v>
      </c>
      <c r="Z143" s="49">
        <v>0</v>
      </c>
      <c r="AA143" s="72">
        <v>143</v>
      </c>
      <c r="AB143" s="72"/>
      <c r="AC143" s="73"/>
      <c r="AD143" s="88" t="s">
        <v>645</v>
      </c>
      <c r="AE143" s="88" t="s">
        <v>921</v>
      </c>
      <c r="AF143" s="88" t="s">
        <v>1188</v>
      </c>
      <c r="AG143" s="88" t="s">
        <v>1311</v>
      </c>
      <c r="AH143" s="88" t="s">
        <v>1564</v>
      </c>
      <c r="AI143" s="88">
        <v>13998</v>
      </c>
      <c r="AJ143" s="88">
        <v>89</v>
      </c>
      <c r="AK143" s="88">
        <v>300</v>
      </c>
      <c r="AL143" s="88">
        <v>10</v>
      </c>
      <c r="AM143" s="88" t="s">
        <v>1705</v>
      </c>
      <c r="AN143" s="100" t="str">
        <f>HYPERLINK("https://www.youtube.com/watch?v=IWvxUdnf8-Q")</f>
        <v>https://www.youtube.com/watch?v=IWvxUdnf8-Q</v>
      </c>
      <c r="AO143" s="88" t="str">
        <f>REPLACE(INDEX(GroupVertices[Group],MATCH(Vertices[[#This Row],[Vertex]],GroupVertices[Vertex],0)),1,1,"")</f>
        <v>1</v>
      </c>
      <c r="AP143" s="48">
        <v>0</v>
      </c>
      <c r="AQ143" s="49">
        <v>0</v>
      </c>
      <c r="AR143" s="48">
        <v>5</v>
      </c>
      <c r="AS143" s="49">
        <v>8.771929824561404</v>
      </c>
      <c r="AT143" s="48">
        <v>0</v>
      </c>
      <c r="AU143" s="49">
        <v>0</v>
      </c>
      <c r="AV143" s="48">
        <v>52</v>
      </c>
      <c r="AW143" s="49">
        <v>91.2280701754386</v>
      </c>
      <c r="AX143" s="48">
        <v>57</v>
      </c>
      <c r="AY143" s="48"/>
      <c r="AZ143" s="48"/>
      <c r="BA143" s="48"/>
      <c r="BB143" s="48"/>
      <c r="BC143" s="2"/>
      <c r="BD143" s="3"/>
      <c r="BE143" s="3"/>
      <c r="BF143" s="3"/>
      <c r="BG143" s="3"/>
    </row>
    <row r="144" spans="1:59" ht="15">
      <c r="A144" s="65" t="s">
        <v>362</v>
      </c>
      <c r="B144" s="66"/>
      <c r="C144" s="66"/>
      <c r="D144" s="67">
        <v>82.55349138369783</v>
      </c>
      <c r="E144" s="69"/>
      <c r="F144" s="98" t="str">
        <f>HYPERLINK("https://i.ytimg.com/vi/3O_LoYpSFnQ/default.jpg")</f>
        <v>https://i.ytimg.com/vi/3O_LoYpSFnQ/default.jpg</v>
      </c>
      <c r="G144" s="66"/>
      <c r="H144" s="70" t="s">
        <v>646</v>
      </c>
      <c r="I144" s="71"/>
      <c r="J144" s="71" t="s">
        <v>159</v>
      </c>
      <c r="K144" s="70" t="s">
        <v>646</v>
      </c>
      <c r="L144" s="74">
        <v>909.9090909090909</v>
      </c>
      <c r="M144" s="75">
        <v>3131.051025390625</v>
      </c>
      <c r="N144" s="75">
        <v>8721.9677734375</v>
      </c>
      <c r="O144" s="76"/>
      <c r="P144" s="77"/>
      <c r="Q144" s="77"/>
      <c r="R144" s="91"/>
      <c r="S144" s="48">
        <v>1</v>
      </c>
      <c r="T144" s="48">
        <v>0</v>
      </c>
      <c r="U144" s="49">
        <v>0</v>
      </c>
      <c r="V144" s="49">
        <v>0.000808</v>
      </c>
      <c r="W144" s="49">
        <v>0.001875</v>
      </c>
      <c r="X144" s="49">
        <v>0.392787</v>
      </c>
      <c r="Y144" s="49">
        <v>0</v>
      </c>
      <c r="Z144" s="49">
        <v>0</v>
      </c>
      <c r="AA144" s="72">
        <v>144</v>
      </c>
      <c r="AB144" s="72"/>
      <c r="AC144" s="73"/>
      <c r="AD144" s="88" t="s">
        <v>646</v>
      </c>
      <c r="AE144" s="88" t="s">
        <v>922</v>
      </c>
      <c r="AF144" s="88" t="s">
        <v>1189</v>
      </c>
      <c r="AG144" s="88" t="s">
        <v>1327</v>
      </c>
      <c r="AH144" s="88" t="s">
        <v>1565</v>
      </c>
      <c r="AI144" s="88">
        <v>23643</v>
      </c>
      <c r="AJ144" s="88">
        <v>32</v>
      </c>
      <c r="AK144" s="88">
        <v>97</v>
      </c>
      <c r="AL144" s="88">
        <v>10</v>
      </c>
      <c r="AM144" s="88" t="s">
        <v>1705</v>
      </c>
      <c r="AN144" s="100" t="str">
        <f>HYPERLINK("https://www.youtube.com/watch?v=3O_LoYpSFnQ")</f>
        <v>https://www.youtube.com/watch?v=3O_LoYpSFnQ</v>
      </c>
      <c r="AO144" s="88" t="str">
        <f>REPLACE(INDEX(GroupVertices[Group],MATCH(Vertices[[#This Row],[Vertex]],GroupVertices[Vertex],0)),1,1,"")</f>
        <v>1</v>
      </c>
      <c r="AP144" s="48">
        <v>1</v>
      </c>
      <c r="AQ144" s="49">
        <v>1.3513513513513513</v>
      </c>
      <c r="AR144" s="48">
        <v>2</v>
      </c>
      <c r="AS144" s="49">
        <v>2.7027027027027026</v>
      </c>
      <c r="AT144" s="48">
        <v>0</v>
      </c>
      <c r="AU144" s="49">
        <v>0</v>
      </c>
      <c r="AV144" s="48">
        <v>71</v>
      </c>
      <c r="AW144" s="49">
        <v>95.94594594594595</v>
      </c>
      <c r="AX144" s="48">
        <v>74</v>
      </c>
      <c r="AY144" s="48"/>
      <c r="AZ144" s="48"/>
      <c r="BA144" s="48"/>
      <c r="BB144" s="48"/>
      <c r="BC144" s="2"/>
      <c r="BD144" s="3"/>
      <c r="BE144" s="3"/>
      <c r="BF144" s="3"/>
      <c r="BG144" s="3"/>
    </row>
    <row r="145" spans="1:59" ht="15">
      <c r="A145" s="65" t="s">
        <v>363</v>
      </c>
      <c r="B145" s="66"/>
      <c r="C145" s="66"/>
      <c r="D145" s="67">
        <v>101.14577874708297</v>
      </c>
      <c r="E145" s="69"/>
      <c r="F145" s="98" t="str">
        <f>HYPERLINK("https://i.ytimg.com/vi/YpsNKrqNCr8/default.jpg")</f>
        <v>https://i.ytimg.com/vi/YpsNKrqNCr8/default.jpg</v>
      </c>
      <c r="G145" s="66"/>
      <c r="H145" s="70" t="s">
        <v>647</v>
      </c>
      <c r="I145" s="71"/>
      <c r="J145" s="71" t="s">
        <v>159</v>
      </c>
      <c r="K145" s="70" t="s">
        <v>647</v>
      </c>
      <c r="L145" s="74">
        <v>909.9090909090909</v>
      </c>
      <c r="M145" s="75">
        <v>2896.519287109375</v>
      </c>
      <c r="N145" s="75">
        <v>8500.8193359375</v>
      </c>
      <c r="O145" s="76"/>
      <c r="P145" s="77"/>
      <c r="Q145" s="77"/>
      <c r="R145" s="91"/>
      <c r="S145" s="48">
        <v>1</v>
      </c>
      <c r="T145" s="48">
        <v>0</v>
      </c>
      <c r="U145" s="49">
        <v>0</v>
      </c>
      <c r="V145" s="49">
        <v>0.000808</v>
      </c>
      <c r="W145" s="49">
        <v>0.001875</v>
      </c>
      <c r="X145" s="49">
        <v>0.392787</v>
      </c>
      <c r="Y145" s="49">
        <v>0</v>
      </c>
      <c r="Z145" s="49">
        <v>0</v>
      </c>
      <c r="AA145" s="72">
        <v>145</v>
      </c>
      <c r="AB145" s="72"/>
      <c r="AC145" s="73"/>
      <c r="AD145" s="88" t="s">
        <v>647</v>
      </c>
      <c r="AE145" s="88" t="s">
        <v>923</v>
      </c>
      <c r="AF145" s="88" t="s">
        <v>1190</v>
      </c>
      <c r="AG145" s="88" t="s">
        <v>1355</v>
      </c>
      <c r="AH145" s="88" t="s">
        <v>1566</v>
      </c>
      <c r="AI145" s="88">
        <v>195179</v>
      </c>
      <c r="AJ145" s="88">
        <v>2396</v>
      </c>
      <c r="AK145" s="88">
        <v>3696</v>
      </c>
      <c r="AL145" s="88">
        <v>200</v>
      </c>
      <c r="AM145" s="88" t="s">
        <v>1705</v>
      </c>
      <c r="AN145" s="100" t="str">
        <f>HYPERLINK("https://www.youtube.com/watch?v=YpsNKrqNCr8")</f>
        <v>https://www.youtube.com/watch?v=YpsNKrqNCr8</v>
      </c>
      <c r="AO145" s="88" t="str">
        <f>REPLACE(INDEX(GroupVertices[Group],MATCH(Vertices[[#This Row],[Vertex]],GroupVertices[Vertex],0)),1,1,"")</f>
        <v>1</v>
      </c>
      <c r="AP145" s="48">
        <v>1</v>
      </c>
      <c r="AQ145" s="49">
        <v>8.333333333333334</v>
      </c>
      <c r="AR145" s="48">
        <v>0</v>
      </c>
      <c r="AS145" s="49">
        <v>0</v>
      </c>
      <c r="AT145" s="48">
        <v>0</v>
      </c>
      <c r="AU145" s="49">
        <v>0</v>
      </c>
      <c r="AV145" s="48">
        <v>11</v>
      </c>
      <c r="AW145" s="49">
        <v>91.66666666666667</v>
      </c>
      <c r="AX145" s="48">
        <v>12</v>
      </c>
      <c r="AY145" s="48"/>
      <c r="AZ145" s="48"/>
      <c r="BA145" s="48"/>
      <c r="BB145" s="48"/>
      <c r="BC145" s="2"/>
      <c r="BD145" s="3"/>
      <c r="BE145" s="3"/>
      <c r="BF145" s="3"/>
      <c r="BG145" s="3"/>
    </row>
    <row r="146" spans="1:59" ht="15">
      <c r="A146" s="65" t="s">
        <v>364</v>
      </c>
      <c r="B146" s="66"/>
      <c r="C146" s="66"/>
      <c r="D146" s="67">
        <v>82.5464462230399</v>
      </c>
      <c r="E146" s="69"/>
      <c r="F146" s="98" t="str">
        <f>HYPERLINK("https://i.ytimg.com/vi/PRSaBHihq_I/default.jpg")</f>
        <v>https://i.ytimg.com/vi/PRSaBHihq_I/default.jpg</v>
      </c>
      <c r="G146" s="66"/>
      <c r="H146" s="70" t="s">
        <v>648</v>
      </c>
      <c r="I146" s="71"/>
      <c r="J146" s="71" t="s">
        <v>159</v>
      </c>
      <c r="K146" s="70" t="s">
        <v>648</v>
      </c>
      <c r="L146" s="74">
        <v>909.9090909090909</v>
      </c>
      <c r="M146" s="75">
        <v>2785.296630859375</v>
      </c>
      <c r="N146" s="75">
        <v>9519.1015625</v>
      </c>
      <c r="O146" s="76"/>
      <c r="P146" s="77"/>
      <c r="Q146" s="77"/>
      <c r="R146" s="91"/>
      <c r="S146" s="48">
        <v>1</v>
      </c>
      <c r="T146" s="48">
        <v>0</v>
      </c>
      <c r="U146" s="49">
        <v>0</v>
      </c>
      <c r="V146" s="49">
        <v>0.000808</v>
      </c>
      <c r="W146" s="49">
        <v>0.001875</v>
      </c>
      <c r="X146" s="49">
        <v>0.392787</v>
      </c>
      <c r="Y146" s="49">
        <v>0</v>
      </c>
      <c r="Z146" s="49">
        <v>0</v>
      </c>
      <c r="AA146" s="72">
        <v>146</v>
      </c>
      <c r="AB146" s="72"/>
      <c r="AC146" s="73"/>
      <c r="AD146" s="88" t="s">
        <v>648</v>
      </c>
      <c r="AE146" s="88" t="s">
        <v>924</v>
      </c>
      <c r="AF146" s="88" t="s">
        <v>1191</v>
      </c>
      <c r="AG146" s="88" t="s">
        <v>1327</v>
      </c>
      <c r="AH146" s="88" t="s">
        <v>1567</v>
      </c>
      <c r="AI146" s="88">
        <v>23578</v>
      </c>
      <c r="AJ146" s="88">
        <v>136</v>
      </c>
      <c r="AK146" s="88">
        <v>176</v>
      </c>
      <c r="AL146" s="88">
        <v>40</v>
      </c>
      <c r="AM146" s="88" t="s">
        <v>1705</v>
      </c>
      <c r="AN146" s="100" t="str">
        <f>HYPERLINK("https://www.youtube.com/watch?v=PRSaBHihq_I")</f>
        <v>https://www.youtube.com/watch?v=PRSaBHihq_I</v>
      </c>
      <c r="AO146" s="88" t="str">
        <f>REPLACE(INDEX(GroupVertices[Group],MATCH(Vertices[[#This Row],[Vertex]],GroupVertices[Vertex],0)),1,1,"")</f>
        <v>1</v>
      </c>
      <c r="AP146" s="48">
        <v>1</v>
      </c>
      <c r="AQ146" s="49">
        <v>2.2222222222222223</v>
      </c>
      <c r="AR146" s="48">
        <v>1</v>
      </c>
      <c r="AS146" s="49">
        <v>2.2222222222222223</v>
      </c>
      <c r="AT146" s="48">
        <v>0</v>
      </c>
      <c r="AU146" s="49">
        <v>0</v>
      </c>
      <c r="AV146" s="48">
        <v>43</v>
      </c>
      <c r="AW146" s="49">
        <v>95.55555555555556</v>
      </c>
      <c r="AX146" s="48">
        <v>45</v>
      </c>
      <c r="AY146" s="48"/>
      <c r="AZ146" s="48"/>
      <c r="BA146" s="48"/>
      <c r="BB146" s="48"/>
      <c r="BC146" s="2"/>
      <c r="BD146" s="3"/>
      <c r="BE146" s="3"/>
      <c r="BF146" s="3"/>
      <c r="BG146" s="3"/>
    </row>
    <row r="147" spans="1:59" ht="15">
      <c r="A147" s="65" t="s">
        <v>365</v>
      </c>
      <c r="B147" s="66"/>
      <c r="C147" s="66"/>
      <c r="D147" s="67">
        <v>99.85142015358922</v>
      </c>
      <c r="E147" s="69"/>
      <c r="F147" s="98" t="str">
        <f>HYPERLINK("https://i.ytimg.com/vi/c14JEeaMQ-g/default.jpg")</f>
        <v>https://i.ytimg.com/vi/c14JEeaMQ-g/default.jpg</v>
      </c>
      <c r="G147" s="66"/>
      <c r="H147" s="70" t="s">
        <v>649</v>
      </c>
      <c r="I147" s="71"/>
      <c r="J147" s="71" t="s">
        <v>159</v>
      </c>
      <c r="K147" s="70" t="s">
        <v>649</v>
      </c>
      <c r="L147" s="74">
        <v>909.9090909090909</v>
      </c>
      <c r="M147" s="75">
        <v>2973.23388671875</v>
      </c>
      <c r="N147" s="75">
        <v>7868.5302734375</v>
      </c>
      <c r="O147" s="76"/>
      <c r="P147" s="77"/>
      <c r="Q147" s="77"/>
      <c r="R147" s="91"/>
      <c r="S147" s="48">
        <v>1</v>
      </c>
      <c r="T147" s="48">
        <v>0</v>
      </c>
      <c r="U147" s="49">
        <v>0</v>
      </c>
      <c r="V147" s="49">
        <v>0.000808</v>
      </c>
      <c r="W147" s="49">
        <v>0.001875</v>
      </c>
      <c r="X147" s="49">
        <v>0.392787</v>
      </c>
      <c r="Y147" s="49">
        <v>0</v>
      </c>
      <c r="Z147" s="49">
        <v>0</v>
      </c>
      <c r="AA147" s="72">
        <v>147</v>
      </c>
      <c r="AB147" s="72"/>
      <c r="AC147" s="73"/>
      <c r="AD147" s="88" t="s">
        <v>649</v>
      </c>
      <c r="AE147" s="88" t="s">
        <v>925</v>
      </c>
      <c r="AF147" s="88" t="s">
        <v>1192</v>
      </c>
      <c r="AG147" s="88" t="s">
        <v>1327</v>
      </c>
      <c r="AH147" s="88" t="s">
        <v>1568</v>
      </c>
      <c r="AI147" s="88">
        <v>183237</v>
      </c>
      <c r="AJ147" s="88">
        <v>1108</v>
      </c>
      <c r="AK147" s="88">
        <v>3186</v>
      </c>
      <c r="AL147" s="88">
        <v>238</v>
      </c>
      <c r="AM147" s="88" t="s">
        <v>1705</v>
      </c>
      <c r="AN147" s="100" t="str">
        <f>HYPERLINK("https://www.youtube.com/watch?v=c14JEeaMQ-g")</f>
        <v>https://www.youtube.com/watch?v=c14JEeaMQ-g</v>
      </c>
      <c r="AO147" s="88" t="str">
        <f>REPLACE(INDEX(GroupVertices[Group],MATCH(Vertices[[#This Row],[Vertex]],GroupVertices[Vertex],0)),1,1,"")</f>
        <v>1</v>
      </c>
      <c r="AP147" s="48">
        <v>1</v>
      </c>
      <c r="AQ147" s="49">
        <v>1.5384615384615385</v>
      </c>
      <c r="AR147" s="48">
        <v>3</v>
      </c>
      <c r="AS147" s="49">
        <v>4.615384615384615</v>
      </c>
      <c r="AT147" s="48">
        <v>0</v>
      </c>
      <c r="AU147" s="49">
        <v>0</v>
      </c>
      <c r="AV147" s="48">
        <v>61</v>
      </c>
      <c r="AW147" s="49">
        <v>93.84615384615384</v>
      </c>
      <c r="AX147" s="48">
        <v>65</v>
      </c>
      <c r="AY147" s="48"/>
      <c r="AZ147" s="48"/>
      <c r="BA147" s="48"/>
      <c r="BB147" s="48"/>
      <c r="BC147" s="2"/>
      <c r="BD147" s="3"/>
      <c r="BE147" s="3"/>
      <c r="BF147" s="3"/>
      <c r="BG147" s="3"/>
    </row>
    <row r="148" spans="1:59" ht="15">
      <c r="A148" s="65" t="s">
        <v>366</v>
      </c>
      <c r="B148" s="66"/>
      <c r="C148" s="66"/>
      <c r="D148" s="67">
        <v>82.17847206252144</v>
      </c>
      <c r="E148" s="69"/>
      <c r="F148" s="98" t="str">
        <f>HYPERLINK("https://i.ytimg.com/vi/XbHOEYIhowY/default.jpg")</f>
        <v>https://i.ytimg.com/vi/XbHOEYIhowY/default.jpg</v>
      </c>
      <c r="G148" s="66"/>
      <c r="H148" s="70" t="s">
        <v>650</v>
      </c>
      <c r="I148" s="71"/>
      <c r="J148" s="71" t="s">
        <v>159</v>
      </c>
      <c r="K148" s="70" t="s">
        <v>650</v>
      </c>
      <c r="L148" s="74">
        <v>909.9090909090909</v>
      </c>
      <c r="M148" s="75">
        <v>3079.87841796875</v>
      </c>
      <c r="N148" s="75">
        <v>7385.283203125</v>
      </c>
      <c r="O148" s="76"/>
      <c r="P148" s="77"/>
      <c r="Q148" s="77"/>
      <c r="R148" s="91"/>
      <c r="S148" s="48">
        <v>1</v>
      </c>
      <c r="T148" s="48">
        <v>0</v>
      </c>
      <c r="U148" s="49">
        <v>0</v>
      </c>
      <c r="V148" s="49">
        <v>0.000808</v>
      </c>
      <c r="W148" s="49">
        <v>0.001875</v>
      </c>
      <c r="X148" s="49">
        <v>0.392787</v>
      </c>
      <c r="Y148" s="49">
        <v>0</v>
      </c>
      <c r="Z148" s="49">
        <v>0</v>
      </c>
      <c r="AA148" s="72">
        <v>148</v>
      </c>
      <c r="AB148" s="72"/>
      <c r="AC148" s="73"/>
      <c r="AD148" s="88" t="s">
        <v>650</v>
      </c>
      <c r="AE148" s="88" t="s">
        <v>926</v>
      </c>
      <c r="AF148" s="88" t="s">
        <v>1193</v>
      </c>
      <c r="AG148" s="88" t="s">
        <v>1327</v>
      </c>
      <c r="AH148" s="88" t="s">
        <v>1569</v>
      </c>
      <c r="AI148" s="88">
        <v>20183</v>
      </c>
      <c r="AJ148" s="88">
        <v>111</v>
      </c>
      <c r="AK148" s="88">
        <v>181</v>
      </c>
      <c r="AL148" s="88">
        <v>37</v>
      </c>
      <c r="AM148" s="88" t="s">
        <v>1705</v>
      </c>
      <c r="AN148" s="100" t="str">
        <f>HYPERLINK("https://www.youtube.com/watch?v=XbHOEYIhowY")</f>
        <v>https://www.youtube.com/watch?v=XbHOEYIhowY</v>
      </c>
      <c r="AO148" s="88" t="str">
        <f>REPLACE(INDEX(GroupVertices[Group],MATCH(Vertices[[#This Row],[Vertex]],GroupVertices[Vertex],0)),1,1,"")</f>
        <v>1</v>
      </c>
      <c r="AP148" s="48">
        <v>1</v>
      </c>
      <c r="AQ148" s="49">
        <v>1.694915254237288</v>
      </c>
      <c r="AR148" s="48">
        <v>6</v>
      </c>
      <c r="AS148" s="49">
        <v>10.169491525423728</v>
      </c>
      <c r="AT148" s="48">
        <v>0</v>
      </c>
      <c r="AU148" s="49">
        <v>0</v>
      </c>
      <c r="AV148" s="48">
        <v>52</v>
      </c>
      <c r="AW148" s="49">
        <v>88.13559322033899</v>
      </c>
      <c r="AX148" s="48">
        <v>59</v>
      </c>
      <c r="AY148" s="48"/>
      <c r="AZ148" s="48"/>
      <c r="BA148" s="48"/>
      <c r="BB148" s="48"/>
      <c r="BC148" s="2"/>
      <c r="BD148" s="3"/>
      <c r="BE148" s="3"/>
      <c r="BF148" s="3"/>
      <c r="BG148" s="3"/>
    </row>
    <row r="149" spans="1:59" ht="15">
      <c r="A149" s="65" t="s">
        <v>367</v>
      </c>
      <c r="B149" s="66"/>
      <c r="C149" s="66"/>
      <c r="D149" s="67">
        <v>436.4750492925622</v>
      </c>
      <c r="E149" s="69"/>
      <c r="F149" s="98" t="str">
        <f>HYPERLINK("https://i.ytimg.com/vi/n6QwnzbRUyA/default.jpg")</f>
        <v>https://i.ytimg.com/vi/n6QwnzbRUyA/default.jpg</v>
      </c>
      <c r="G149" s="66"/>
      <c r="H149" s="70" t="s">
        <v>651</v>
      </c>
      <c r="I149" s="71"/>
      <c r="J149" s="71" t="s">
        <v>75</v>
      </c>
      <c r="K149" s="70" t="s">
        <v>651</v>
      </c>
      <c r="L149" s="74">
        <v>4545.545454545455</v>
      </c>
      <c r="M149" s="75">
        <v>1896.513671875</v>
      </c>
      <c r="N149" s="75">
        <v>7145.1220703125</v>
      </c>
      <c r="O149" s="76"/>
      <c r="P149" s="77"/>
      <c r="Q149" s="77"/>
      <c r="R149" s="91"/>
      <c r="S149" s="48">
        <v>5</v>
      </c>
      <c r="T149" s="48">
        <v>0</v>
      </c>
      <c r="U149" s="49">
        <v>276.772999</v>
      </c>
      <c r="V149" s="49">
        <v>0.000972</v>
      </c>
      <c r="W149" s="49">
        <v>0.013923</v>
      </c>
      <c r="X149" s="49">
        <v>1.265405</v>
      </c>
      <c r="Y149" s="49">
        <v>0.15</v>
      </c>
      <c r="Z149" s="49">
        <v>0</v>
      </c>
      <c r="AA149" s="72">
        <v>149</v>
      </c>
      <c r="AB149" s="72"/>
      <c r="AC149" s="73"/>
      <c r="AD149" s="88" t="s">
        <v>651</v>
      </c>
      <c r="AE149" s="88" t="s">
        <v>927</v>
      </c>
      <c r="AF149" s="88" t="s">
        <v>1194</v>
      </c>
      <c r="AG149" s="88" t="s">
        <v>1328</v>
      </c>
      <c r="AH149" s="88" t="s">
        <v>1570</v>
      </c>
      <c r="AI149" s="88">
        <v>3288991</v>
      </c>
      <c r="AJ149" s="88">
        <v>5071</v>
      </c>
      <c r="AK149" s="88">
        <v>58428</v>
      </c>
      <c r="AL149" s="88">
        <v>6198</v>
      </c>
      <c r="AM149" s="88" t="s">
        <v>1705</v>
      </c>
      <c r="AN149" s="100" t="str">
        <f>HYPERLINK("https://www.youtube.com/watch?v=n6QwnzbRUyA")</f>
        <v>https://www.youtube.com/watch?v=n6QwnzbRUyA</v>
      </c>
      <c r="AO149" s="88" t="str">
        <f>REPLACE(INDEX(GroupVertices[Group],MATCH(Vertices[[#This Row],[Vertex]],GroupVertices[Vertex],0)),1,1,"")</f>
        <v>1</v>
      </c>
      <c r="AP149" s="48">
        <v>2</v>
      </c>
      <c r="AQ149" s="49">
        <v>3.125</v>
      </c>
      <c r="AR149" s="48">
        <v>4</v>
      </c>
      <c r="AS149" s="49">
        <v>6.25</v>
      </c>
      <c r="AT149" s="48">
        <v>0</v>
      </c>
      <c r="AU149" s="49">
        <v>0</v>
      </c>
      <c r="AV149" s="48">
        <v>58</v>
      </c>
      <c r="AW149" s="49">
        <v>90.625</v>
      </c>
      <c r="AX149" s="48">
        <v>64</v>
      </c>
      <c r="AY149" s="48"/>
      <c r="AZ149" s="48"/>
      <c r="BA149" s="48"/>
      <c r="BB149" s="48"/>
      <c r="BC149" s="2"/>
      <c r="BD149" s="3"/>
      <c r="BE149" s="3"/>
      <c r="BF149" s="3"/>
      <c r="BG149" s="3"/>
    </row>
    <row r="150" spans="1:59" ht="15">
      <c r="A150" s="65" t="s">
        <v>368</v>
      </c>
      <c r="B150" s="66"/>
      <c r="C150" s="66"/>
      <c r="D150" s="67">
        <v>82.1490991619322</v>
      </c>
      <c r="E150" s="69"/>
      <c r="F150" s="98" t="str">
        <f>HYPERLINK("https://i.ytimg.com/vi/MKNavonhXyk/default.jpg")</f>
        <v>https://i.ytimg.com/vi/MKNavonhXyk/default.jpg</v>
      </c>
      <c r="G150" s="66"/>
      <c r="H150" s="70" t="s">
        <v>652</v>
      </c>
      <c r="I150" s="71"/>
      <c r="J150" s="71" t="s">
        <v>75</v>
      </c>
      <c r="K150" s="70" t="s">
        <v>652</v>
      </c>
      <c r="L150" s="74">
        <v>2727.7272727272725</v>
      </c>
      <c r="M150" s="75">
        <v>1094.028076171875</v>
      </c>
      <c r="N150" s="75">
        <v>6099.84033203125</v>
      </c>
      <c r="O150" s="76"/>
      <c r="P150" s="77"/>
      <c r="Q150" s="77"/>
      <c r="R150" s="91"/>
      <c r="S150" s="48">
        <v>3</v>
      </c>
      <c r="T150" s="48">
        <v>0</v>
      </c>
      <c r="U150" s="49">
        <v>91.88305</v>
      </c>
      <c r="V150" s="49">
        <v>0.00095</v>
      </c>
      <c r="W150" s="49">
        <v>0.008136</v>
      </c>
      <c r="X150" s="49">
        <v>0.819393</v>
      </c>
      <c r="Y150" s="49">
        <v>0</v>
      </c>
      <c r="Z150" s="49">
        <v>0</v>
      </c>
      <c r="AA150" s="72">
        <v>150</v>
      </c>
      <c r="AB150" s="72"/>
      <c r="AC150" s="73"/>
      <c r="AD150" s="88" t="s">
        <v>652</v>
      </c>
      <c r="AE150" s="88" t="s">
        <v>928</v>
      </c>
      <c r="AF150" s="88"/>
      <c r="AG150" s="88" t="s">
        <v>1373</v>
      </c>
      <c r="AH150" s="88" t="s">
        <v>1571</v>
      </c>
      <c r="AI150" s="88">
        <v>19912</v>
      </c>
      <c r="AJ150" s="88">
        <v>79</v>
      </c>
      <c r="AK150" s="88">
        <v>448</v>
      </c>
      <c r="AL150" s="88">
        <v>15</v>
      </c>
      <c r="AM150" s="88" t="s">
        <v>1705</v>
      </c>
      <c r="AN150" s="100" t="str">
        <f>HYPERLINK("https://www.youtube.com/watch?v=MKNavonhXyk")</f>
        <v>https://www.youtube.com/watch?v=MKNavonhXyk</v>
      </c>
      <c r="AO150" s="88" t="str">
        <f>REPLACE(INDEX(GroupVertices[Group],MATCH(Vertices[[#This Row],[Vertex]],GroupVertices[Vertex],0)),1,1,"")</f>
        <v>1</v>
      </c>
      <c r="AP150" s="48"/>
      <c r="AQ150" s="49"/>
      <c r="AR150" s="48"/>
      <c r="AS150" s="49"/>
      <c r="AT150" s="48"/>
      <c r="AU150" s="49"/>
      <c r="AV150" s="48"/>
      <c r="AW150" s="49"/>
      <c r="AX150" s="48"/>
      <c r="AY150" s="48"/>
      <c r="AZ150" s="48"/>
      <c r="BA150" s="48"/>
      <c r="BB150" s="48"/>
      <c r="BC150" s="2"/>
      <c r="BD150" s="3"/>
      <c r="BE150" s="3"/>
      <c r="BF150" s="3"/>
      <c r="BG150" s="3"/>
    </row>
    <row r="151" spans="1:59" ht="15">
      <c r="A151" s="65" t="s">
        <v>228</v>
      </c>
      <c r="B151" s="66"/>
      <c r="C151" s="66"/>
      <c r="D151" s="67">
        <v>111.30490041582942</v>
      </c>
      <c r="E151" s="69"/>
      <c r="F151" s="98" t="str">
        <f>HYPERLINK("https://i.ytimg.com/vi/mbLMnxhDgGk/default.jpg")</f>
        <v>https://i.ytimg.com/vi/mbLMnxhDgGk/default.jpg</v>
      </c>
      <c r="G151" s="66"/>
      <c r="H151" s="70" t="s">
        <v>653</v>
      </c>
      <c r="I151" s="71"/>
      <c r="J151" s="71" t="s">
        <v>75</v>
      </c>
      <c r="K151" s="70" t="s">
        <v>653</v>
      </c>
      <c r="L151" s="74">
        <v>1818.8181818181818</v>
      </c>
      <c r="M151" s="75">
        <v>6779.51904296875</v>
      </c>
      <c r="N151" s="75">
        <v>4970.94873046875</v>
      </c>
      <c r="O151" s="76"/>
      <c r="P151" s="77"/>
      <c r="Q151" s="77"/>
      <c r="R151" s="91"/>
      <c r="S151" s="48">
        <v>2</v>
      </c>
      <c r="T151" s="48">
        <v>20</v>
      </c>
      <c r="U151" s="49">
        <v>10769.496327</v>
      </c>
      <c r="V151" s="49">
        <v>0.00097</v>
      </c>
      <c r="W151" s="49">
        <v>0.007418</v>
      </c>
      <c r="X151" s="49">
        <v>9.202416</v>
      </c>
      <c r="Y151" s="49">
        <v>0</v>
      </c>
      <c r="Z151" s="49">
        <v>0</v>
      </c>
      <c r="AA151" s="72">
        <v>151</v>
      </c>
      <c r="AB151" s="72"/>
      <c r="AC151" s="73"/>
      <c r="AD151" s="88" t="s">
        <v>653</v>
      </c>
      <c r="AE151" s="88" t="s">
        <v>929</v>
      </c>
      <c r="AF151" s="88" t="s">
        <v>1195</v>
      </c>
      <c r="AG151" s="88" t="s">
        <v>1374</v>
      </c>
      <c r="AH151" s="88" t="s">
        <v>1572</v>
      </c>
      <c r="AI151" s="88">
        <v>288909</v>
      </c>
      <c r="AJ151" s="88">
        <v>2609</v>
      </c>
      <c r="AK151" s="88">
        <v>10006</v>
      </c>
      <c r="AL151" s="88">
        <v>585</v>
      </c>
      <c r="AM151" s="88" t="s">
        <v>1705</v>
      </c>
      <c r="AN151" s="100" t="str">
        <f>HYPERLINK("https://www.youtube.com/watch?v=mbLMnxhDgGk")</f>
        <v>https://www.youtube.com/watch?v=mbLMnxhDgGk</v>
      </c>
      <c r="AO151" s="88" t="str">
        <f>REPLACE(INDEX(GroupVertices[Group],MATCH(Vertices[[#This Row],[Vertex]],GroupVertices[Vertex],0)),1,1,"")</f>
        <v>9</v>
      </c>
      <c r="AP151" s="48">
        <v>0</v>
      </c>
      <c r="AQ151" s="49">
        <v>0</v>
      </c>
      <c r="AR151" s="48">
        <v>2</v>
      </c>
      <c r="AS151" s="49">
        <v>6.896551724137931</v>
      </c>
      <c r="AT151" s="48">
        <v>0</v>
      </c>
      <c r="AU151" s="49">
        <v>0</v>
      </c>
      <c r="AV151" s="48">
        <v>27</v>
      </c>
      <c r="AW151" s="49">
        <v>93.10344827586206</v>
      </c>
      <c r="AX151" s="48">
        <v>29</v>
      </c>
      <c r="AY151" s="121" t="s">
        <v>2747</v>
      </c>
      <c r="AZ151" s="121" t="s">
        <v>2747</v>
      </c>
      <c r="BA151" s="121" t="s">
        <v>2747</v>
      </c>
      <c r="BB151" s="121" t="s">
        <v>2747</v>
      </c>
      <c r="BC151" s="2"/>
      <c r="BD151" s="3"/>
      <c r="BE151" s="3"/>
      <c r="BF151" s="3"/>
      <c r="BG151" s="3"/>
    </row>
    <row r="152" spans="1:59" ht="15">
      <c r="A152" s="65" t="s">
        <v>369</v>
      </c>
      <c r="B152" s="66"/>
      <c r="C152" s="66"/>
      <c r="D152" s="67">
        <v>281.75497543854357</v>
      </c>
      <c r="E152" s="69"/>
      <c r="F152" s="98" t="str">
        <f>HYPERLINK("https://i.ytimg.com/vi/PuFRygzeUKY/default.jpg")</f>
        <v>https://i.ytimg.com/vi/PuFRygzeUKY/default.jpg</v>
      </c>
      <c r="G152" s="66"/>
      <c r="H152" s="70" t="s">
        <v>654</v>
      </c>
      <c r="I152" s="71"/>
      <c r="J152" s="71" t="s">
        <v>159</v>
      </c>
      <c r="K152" s="70" t="s">
        <v>654</v>
      </c>
      <c r="L152" s="74">
        <v>909.9090909090909</v>
      </c>
      <c r="M152" s="75">
        <v>2568.634521484375</v>
      </c>
      <c r="N152" s="75">
        <v>9643.7900390625</v>
      </c>
      <c r="O152" s="76"/>
      <c r="P152" s="77"/>
      <c r="Q152" s="77"/>
      <c r="R152" s="91"/>
      <c r="S152" s="48">
        <v>1</v>
      </c>
      <c r="T152" s="48">
        <v>0</v>
      </c>
      <c r="U152" s="49">
        <v>0</v>
      </c>
      <c r="V152" s="49">
        <v>0.000808</v>
      </c>
      <c r="W152" s="49">
        <v>0.001875</v>
      </c>
      <c r="X152" s="49">
        <v>0.392787</v>
      </c>
      <c r="Y152" s="49">
        <v>0</v>
      </c>
      <c r="Z152" s="49">
        <v>0</v>
      </c>
      <c r="AA152" s="72">
        <v>152</v>
      </c>
      <c r="AB152" s="72"/>
      <c r="AC152" s="73"/>
      <c r="AD152" s="88" t="s">
        <v>654</v>
      </c>
      <c r="AE152" s="88" t="s">
        <v>930</v>
      </c>
      <c r="AF152" s="88" t="s">
        <v>1196</v>
      </c>
      <c r="AG152" s="88" t="s">
        <v>1327</v>
      </c>
      <c r="AH152" s="88" t="s">
        <v>1573</v>
      </c>
      <c r="AI152" s="88">
        <v>1861514</v>
      </c>
      <c r="AJ152" s="88">
        <v>4541</v>
      </c>
      <c r="AK152" s="88">
        <v>10089</v>
      </c>
      <c r="AL152" s="88">
        <v>1454</v>
      </c>
      <c r="AM152" s="88" t="s">
        <v>1705</v>
      </c>
      <c r="AN152" s="100" t="str">
        <f>HYPERLINK("https://www.youtube.com/watch?v=PuFRygzeUKY")</f>
        <v>https://www.youtube.com/watch?v=PuFRygzeUKY</v>
      </c>
      <c r="AO152" s="88" t="str">
        <f>REPLACE(INDEX(GroupVertices[Group],MATCH(Vertices[[#This Row],[Vertex]],GroupVertices[Vertex],0)),1,1,"")</f>
        <v>1</v>
      </c>
      <c r="AP152" s="48">
        <v>1</v>
      </c>
      <c r="AQ152" s="49">
        <v>1.5384615384615385</v>
      </c>
      <c r="AR152" s="48">
        <v>7</v>
      </c>
      <c r="AS152" s="49">
        <v>10.76923076923077</v>
      </c>
      <c r="AT152" s="48">
        <v>0</v>
      </c>
      <c r="AU152" s="49">
        <v>0</v>
      </c>
      <c r="AV152" s="48">
        <v>57</v>
      </c>
      <c r="AW152" s="49">
        <v>87.6923076923077</v>
      </c>
      <c r="AX152" s="48">
        <v>65</v>
      </c>
      <c r="AY152" s="48"/>
      <c r="AZ152" s="48"/>
      <c r="BA152" s="48"/>
      <c r="BB152" s="48"/>
      <c r="BC152" s="2"/>
      <c r="BD152" s="3"/>
      <c r="BE152" s="3"/>
      <c r="BF152" s="3"/>
      <c r="BG152" s="3"/>
    </row>
    <row r="153" spans="1:59" ht="15">
      <c r="A153" s="65" t="s">
        <v>370</v>
      </c>
      <c r="B153" s="66"/>
      <c r="C153" s="66"/>
      <c r="D153" s="67">
        <v>82.14714819436539</v>
      </c>
      <c r="E153" s="69"/>
      <c r="F153" s="98" t="str">
        <f>HYPERLINK("https://i.ytimg.com/vi/wQ-aIHTvuvk/default.jpg")</f>
        <v>https://i.ytimg.com/vi/wQ-aIHTvuvk/default.jpg</v>
      </c>
      <c r="G153" s="66"/>
      <c r="H153" s="70" t="s">
        <v>655</v>
      </c>
      <c r="I153" s="71"/>
      <c r="J153" s="71" t="s">
        <v>75</v>
      </c>
      <c r="K153" s="70" t="s">
        <v>655</v>
      </c>
      <c r="L153" s="74">
        <v>2727.7272727272725</v>
      </c>
      <c r="M153" s="75">
        <v>1615.205322265625</v>
      </c>
      <c r="N153" s="75">
        <v>8432.7373046875</v>
      </c>
      <c r="O153" s="76"/>
      <c r="P153" s="77"/>
      <c r="Q153" s="77"/>
      <c r="R153" s="91"/>
      <c r="S153" s="48">
        <v>3</v>
      </c>
      <c r="T153" s="48">
        <v>0</v>
      </c>
      <c r="U153" s="49">
        <v>301.056333</v>
      </c>
      <c r="V153" s="49">
        <v>0.000868</v>
      </c>
      <c r="W153" s="49">
        <v>0.005896</v>
      </c>
      <c r="X153" s="49">
        <v>0.867958</v>
      </c>
      <c r="Y153" s="49">
        <v>0.16666666666666666</v>
      </c>
      <c r="Z153" s="49">
        <v>0</v>
      </c>
      <c r="AA153" s="72">
        <v>153</v>
      </c>
      <c r="AB153" s="72"/>
      <c r="AC153" s="73"/>
      <c r="AD153" s="88" t="s">
        <v>655</v>
      </c>
      <c r="AE153" s="88" t="s">
        <v>931</v>
      </c>
      <c r="AF153" s="88" t="s">
        <v>1197</v>
      </c>
      <c r="AG153" s="88" t="s">
        <v>1375</v>
      </c>
      <c r="AH153" s="88" t="s">
        <v>1574</v>
      </c>
      <c r="AI153" s="88">
        <v>19894</v>
      </c>
      <c r="AJ153" s="88">
        <v>196</v>
      </c>
      <c r="AK153" s="88">
        <v>292</v>
      </c>
      <c r="AL153" s="88">
        <v>43</v>
      </c>
      <c r="AM153" s="88" t="s">
        <v>1705</v>
      </c>
      <c r="AN153" s="100" t="str">
        <f>HYPERLINK("https://www.youtube.com/watch?v=wQ-aIHTvuvk")</f>
        <v>https://www.youtube.com/watch?v=wQ-aIHTvuvk</v>
      </c>
      <c r="AO153" s="88" t="str">
        <f>REPLACE(INDEX(GroupVertices[Group],MATCH(Vertices[[#This Row],[Vertex]],GroupVertices[Vertex],0)),1,1,"")</f>
        <v>1</v>
      </c>
      <c r="AP153" s="48">
        <v>0</v>
      </c>
      <c r="AQ153" s="49">
        <v>0</v>
      </c>
      <c r="AR153" s="48">
        <v>0</v>
      </c>
      <c r="AS153" s="49">
        <v>0</v>
      </c>
      <c r="AT153" s="48">
        <v>0</v>
      </c>
      <c r="AU153" s="49">
        <v>0</v>
      </c>
      <c r="AV153" s="48">
        <v>36</v>
      </c>
      <c r="AW153" s="49">
        <v>100</v>
      </c>
      <c r="AX153" s="48">
        <v>36</v>
      </c>
      <c r="AY153" s="48"/>
      <c r="AZ153" s="48"/>
      <c r="BA153" s="48"/>
      <c r="BB153" s="48"/>
      <c r="BC153" s="2"/>
      <c r="BD153" s="3"/>
      <c r="BE153" s="3"/>
      <c r="BF153" s="3"/>
      <c r="BG153" s="3"/>
    </row>
    <row r="154" spans="1:59" ht="15">
      <c r="A154" s="65" t="s">
        <v>371</v>
      </c>
      <c r="B154" s="66"/>
      <c r="C154" s="66"/>
      <c r="D154" s="67">
        <v>185.70764986635402</v>
      </c>
      <c r="E154" s="69"/>
      <c r="F154" s="98" t="str">
        <f>HYPERLINK("https://i.ytimg.com/vi/Eh8BOSu5JVw/default.jpg")</f>
        <v>https://i.ytimg.com/vi/Eh8BOSu5JVw/default.jpg</v>
      </c>
      <c r="G154" s="66"/>
      <c r="H154" s="70" t="s">
        <v>656</v>
      </c>
      <c r="I154" s="71"/>
      <c r="J154" s="71" t="s">
        <v>75</v>
      </c>
      <c r="K154" s="70" t="s">
        <v>656</v>
      </c>
      <c r="L154" s="74">
        <v>1818.8181818181818</v>
      </c>
      <c r="M154" s="75">
        <v>1859.54296875</v>
      </c>
      <c r="N154" s="75">
        <v>8042.09228515625</v>
      </c>
      <c r="O154" s="76"/>
      <c r="P154" s="77"/>
      <c r="Q154" s="77"/>
      <c r="R154" s="91"/>
      <c r="S154" s="48">
        <v>2</v>
      </c>
      <c r="T154" s="48">
        <v>0</v>
      </c>
      <c r="U154" s="49">
        <v>44.251171</v>
      </c>
      <c r="V154" s="49">
        <v>0.000835</v>
      </c>
      <c r="W154" s="49">
        <v>0.003873</v>
      </c>
      <c r="X154" s="49">
        <v>0.620253</v>
      </c>
      <c r="Y154" s="49">
        <v>0</v>
      </c>
      <c r="Z154" s="49">
        <v>0</v>
      </c>
      <c r="AA154" s="72">
        <v>154</v>
      </c>
      <c r="AB154" s="72"/>
      <c r="AC154" s="73"/>
      <c r="AD154" s="88" t="s">
        <v>656</v>
      </c>
      <c r="AE154" s="88" t="s">
        <v>932</v>
      </c>
      <c r="AF154" s="88" t="s">
        <v>1198</v>
      </c>
      <c r="AG154" s="88" t="s">
        <v>1376</v>
      </c>
      <c r="AH154" s="88" t="s">
        <v>1575</v>
      </c>
      <c r="AI154" s="88">
        <v>975363</v>
      </c>
      <c r="AJ154" s="88">
        <v>1219</v>
      </c>
      <c r="AK154" s="88">
        <v>27637</v>
      </c>
      <c r="AL154" s="88">
        <v>962</v>
      </c>
      <c r="AM154" s="88" t="s">
        <v>1705</v>
      </c>
      <c r="AN154" s="100" t="str">
        <f>HYPERLINK("https://www.youtube.com/watch?v=Eh8BOSu5JVw")</f>
        <v>https://www.youtube.com/watch?v=Eh8BOSu5JVw</v>
      </c>
      <c r="AO154" s="88" t="str">
        <f>REPLACE(INDEX(GroupVertices[Group],MATCH(Vertices[[#This Row],[Vertex]],GroupVertices[Vertex],0)),1,1,"")</f>
        <v>1</v>
      </c>
      <c r="AP154" s="48">
        <v>4</v>
      </c>
      <c r="AQ154" s="49">
        <v>9.75609756097561</v>
      </c>
      <c r="AR154" s="48">
        <v>2</v>
      </c>
      <c r="AS154" s="49">
        <v>4.878048780487805</v>
      </c>
      <c r="AT154" s="48">
        <v>0</v>
      </c>
      <c r="AU154" s="49">
        <v>0</v>
      </c>
      <c r="AV154" s="48">
        <v>35</v>
      </c>
      <c r="AW154" s="49">
        <v>85.36585365853658</v>
      </c>
      <c r="AX154" s="48">
        <v>41</v>
      </c>
      <c r="AY154" s="48"/>
      <c r="AZ154" s="48"/>
      <c r="BA154" s="48"/>
      <c r="BB154" s="48"/>
      <c r="BC154" s="2"/>
      <c r="BD154" s="3"/>
      <c r="BE154" s="3"/>
      <c r="BF154" s="3"/>
      <c r="BG154" s="3"/>
    </row>
    <row r="155" spans="1:59" ht="15">
      <c r="A155" s="65" t="s">
        <v>226</v>
      </c>
      <c r="B155" s="66"/>
      <c r="C155" s="66"/>
      <c r="D155" s="67">
        <v>94.791043833623</v>
      </c>
      <c r="E155" s="69"/>
      <c r="F155" s="98" t="str">
        <f>HYPERLINK("https://i.ytimg.com/vi/IOXLTa7fVWs/default.jpg")</f>
        <v>https://i.ytimg.com/vi/IOXLTa7fVWs/default.jpg</v>
      </c>
      <c r="G155" s="66"/>
      <c r="H155" s="70" t="s">
        <v>657</v>
      </c>
      <c r="I155" s="71"/>
      <c r="J155" s="71" t="s">
        <v>159</v>
      </c>
      <c r="K155" s="70" t="s">
        <v>657</v>
      </c>
      <c r="L155" s="74">
        <v>1</v>
      </c>
      <c r="M155" s="75">
        <v>1782.13232421875</v>
      </c>
      <c r="N155" s="75">
        <v>6123.86279296875</v>
      </c>
      <c r="O155" s="76"/>
      <c r="P155" s="77"/>
      <c r="Q155" s="77"/>
      <c r="R155" s="91"/>
      <c r="S155" s="48">
        <v>0</v>
      </c>
      <c r="T155" s="48">
        <v>20</v>
      </c>
      <c r="U155" s="49">
        <v>5299.991308</v>
      </c>
      <c r="V155" s="49">
        <v>0.001022</v>
      </c>
      <c r="W155" s="49">
        <v>0.022336</v>
      </c>
      <c r="X155" s="49">
        <v>5.447682</v>
      </c>
      <c r="Y155" s="49">
        <v>0.010526315789473684</v>
      </c>
      <c r="Z155" s="49">
        <v>0</v>
      </c>
      <c r="AA155" s="72">
        <v>155</v>
      </c>
      <c r="AB155" s="72"/>
      <c r="AC155" s="73"/>
      <c r="AD155" s="88" t="s">
        <v>657</v>
      </c>
      <c r="AE155" s="88" t="s">
        <v>933</v>
      </c>
      <c r="AF155" s="88" t="s">
        <v>1089</v>
      </c>
      <c r="AG155" s="88" t="s">
        <v>1330</v>
      </c>
      <c r="AH155" s="88" t="s">
        <v>1576</v>
      </c>
      <c r="AI155" s="88">
        <v>136549</v>
      </c>
      <c r="AJ155" s="88">
        <v>0</v>
      </c>
      <c r="AK155" s="88">
        <v>966</v>
      </c>
      <c r="AL155" s="88">
        <v>523</v>
      </c>
      <c r="AM155" s="88" t="s">
        <v>1705</v>
      </c>
      <c r="AN155" s="100" t="str">
        <f>HYPERLINK("https://www.youtube.com/watch?v=IOXLTa7fVWs")</f>
        <v>https://www.youtube.com/watch?v=IOXLTa7fVWs</v>
      </c>
      <c r="AO155" s="88" t="str">
        <f>REPLACE(INDEX(GroupVertices[Group],MATCH(Vertices[[#This Row],[Vertex]],GroupVertices[Vertex],0)),1,1,"")</f>
        <v>1</v>
      </c>
      <c r="AP155" s="48">
        <v>0</v>
      </c>
      <c r="AQ155" s="49">
        <v>0</v>
      </c>
      <c r="AR155" s="48">
        <v>1</v>
      </c>
      <c r="AS155" s="49">
        <v>8.333333333333334</v>
      </c>
      <c r="AT155" s="48">
        <v>0</v>
      </c>
      <c r="AU155" s="49">
        <v>0</v>
      </c>
      <c r="AV155" s="48">
        <v>11</v>
      </c>
      <c r="AW155" s="49">
        <v>91.66666666666667</v>
      </c>
      <c r="AX155" s="48">
        <v>12</v>
      </c>
      <c r="AY155" s="121" t="s">
        <v>2747</v>
      </c>
      <c r="AZ155" s="121" t="s">
        <v>2747</v>
      </c>
      <c r="BA155" s="121" t="s">
        <v>2747</v>
      </c>
      <c r="BB155" s="121" t="s">
        <v>2747</v>
      </c>
      <c r="BC155" s="2"/>
      <c r="BD155" s="3"/>
      <c r="BE155" s="3"/>
      <c r="BF155" s="3"/>
      <c r="BG155" s="3"/>
    </row>
    <row r="156" spans="1:59" ht="15">
      <c r="A156" s="65" t="s">
        <v>372</v>
      </c>
      <c r="B156" s="66"/>
      <c r="C156" s="66"/>
      <c r="D156" s="67">
        <v>81.89070434641644</v>
      </c>
      <c r="E156" s="69"/>
      <c r="F156" s="98" t="str">
        <f>HYPERLINK("https://i.ytimg.com/vi/iOFLuYm1pYM/default.jpg")</f>
        <v>https://i.ytimg.com/vi/iOFLuYm1pYM/default.jpg</v>
      </c>
      <c r="G156" s="66"/>
      <c r="H156" s="70" t="s">
        <v>658</v>
      </c>
      <c r="I156" s="71"/>
      <c r="J156" s="71" t="s">
        <v>159</v>
      </c>
      <c r="K156" s="70" t="s">
        <v>658</v>
      </c>
      <c r="L156" s="74">
        <v>909.9090909090909</v>
      </c>
      <c r="M156" s="75">
        <v>1261.7208251953125</v>
      </c>
      <c r="N156" s="75">
        <v>4829.853515625</v>
      </c>
      <c r="O156" s="76"/>
      <c r="P156" s="77"/>
      <c r="Q156" s="77"/>
      <c r="R156" s="91"/>
      <c r="S156" s="48">
        <v>1</v>
      </c>
      <c r="T156" s="48">
        <v>0</v>
      </c>
      <c r="U156" s="49">
        <v>0</v>
      </c>
      <c r="V156" s="49">
        <v>0.000796</v>
      </c>
      <c r="W156" s="49">
        <v>0.002249</v>
      </c>
      <c r="X156" s="49">
        <v>0.381526</v>
      </c>
      <c r="Y156" s="49">
        <v>0</v>
      </c>
      <c r="Z156" s="49">
        <v>0</v>
      </c>
      <c r="AA156" s="72">
        <v>156</v>
      </c>
      <c r="AB156" s="72"/>
      <c r="AC156" s="73"/>
      <c r="AD156" s="88" t="s">
        <v>658</v>
      </c>
      <c r="AE156" s="88" t="s">
        <v>934</v>
      </c>
      <c r="AF156" s="88" t="s">
        <v>1199</v>
      </c>
      <c r="AG156" s="88" t="s">
        <v>1358</v>
      </c>
      <c r="AH156" s="88" t="s">
        <v>1577</v>
      </c>
      <c r="AI156" s="88">
        <v>17528</v>
      </c>
      <c r="AJ156" s="88">
        <v>89</v>
      </c>
      <c r="AK156" s="88">
        <v>124</v>
      </c>
      <c r="AL156" s="88">
        <v>29</v>
      </c>
      <c r="AM156" s="88" t="s">
        <v>1705</v>
      </c>
      <c r="AN156" s="100" t="str">
        <f>HYPERLINK("https://www.youtube.com/watch?v=iOFLuYm1pYM")</f>
        <v>https://www.youtube.com/watch?v=iOFLuYm1pYM</v>
      </c>
      <c r="AO156" s="88" t="str">
        <f>REPLACE(INDEX(GroupVertices[Group],MATCH(Vertices[[#This Row],[Vertex]],GroupVertices[Vertex],0)),1,1,"")</f>
        <v>1</v>
      </c>
      <c r="AP156" s="48">
        <v>0</v>
      </c>
      <c r="AQ156" s="49">
        <v>0</v>
      </c>
      <c r="AR156" s="48">
        <v>1</v>
      </c>
      <c r="AS156" s="49">
        <v>2.857142857142857</v>
      </c>
      <c r="AT156" s="48">
        <v>0</v>
      </c>
      <c r="AU156" s="49">
        <v>0</v>
      </c>
      <c r="AV156" s="48">
        <v>34</v>
      </c>
      <c r="AW156" s="49">
        <v>97.14285714285714</v>
      </c>
      <c r="AX156" s="48">
        <v>35</v>
      </c>
      <c r="AY156" s="48"/>
      <c r="AZ156" s="48"/>
      <c r="BA156" s="48"/>
      <c r="BB156" s="48"/>
      <c r="BC156" s="2"/>
      <c r="BD156" s="3"/>
      <c r="BE156" s="3"/>
      <c r="BF156" s="3"/>
      <c r="BG156" s="3"/>
    </row>
    <row r="157" spans="1:59" ht="15">
      <c r="A157" s="65" t="s">
        <v>373</v>
      </c>
      <c r="B157" s="66"/>
      <c r="C157" s="66"/>
      <c r="D157" s="67">
        <v>97.53941519982808</v>
      </c>
      <c r="E157" s="69"/>
      <c r="F157" s="98" t="str">
        <f>HYPERLINK("https://i.ytimg.com/vi/QXKSVWnyOSM/default.jpg")</f>
        <v>https://i.ytimg.com/vi/QXKSVWnyOSM/default.jpg</v>
      </c>
      <c r="G157" s="66"/>
      <c r="H157" s="70" t="s">
        <v>659</v>
      </c>
      <c r="I157" s="71"/>
      <c r="J157" s="71" t="s">
        <v>159</v>
      </c>
      <c r="K157" s="70" t="s">
        <v>659</v>
      </c>
      <c r="L157" s="74">
        <v>909.9090909090909</v>
      </c>
      <c r="M157" s="75">
        <v>1777.4061279296875</v>
      </c>
      <c r="N157" s="75">
        <v>5078.5185546875</v>
      </c>
      <c r="O157" s="76"/>
      <c r="P157" s="77"/>
      <c r="Q157" s="77"/>
      <c r="R157" s="91"/>
      <c r="S157" s="48">
        <v>1</v>
      </c>
      <c r="T157" s="48">
        <v>0</v>
      </c>
      <c r="U157" s="49">
        <v>0</v>
      </c>
      <c r="V157" s="49">
        <v>0.000796</v>
      </c>
      <c r="W157" s="49">
        <v>0.002249</v>
      </c>
      <c r="X157" s="49">
        <v>0.381526</v>
      </c>
      <c r="Y157" s="49">
        <v>0</v>
      </c>
      <c r="Z157" s="49">
        <v>0</v>
      </c>
      <c r="AA157" s="72">
        <v>157</v>
      </c>
      <c r="AB157" s="72"/>
      <c r="AC157" s="73"/>
      <c r="AD157" s="88" t="s">
        <v>659</v>
      </c>
      <c r="AE157" s="88" t="s">
        <v>935</v>
      </c>
      <c r="AF157" s="88" t="s">
        <v>1200</v>
      </c>
      <c r="AG157" s="88" t="s">
        <v>1369</v>
      </c>
      <c r="AH157" s="88" t="s">
        <v>1578</v>
      </c>
      <c r="AI157" s="88">
        <v>161906</v>
      </c>
      <c r="AJ157" s="88">
        <v>0</v>
      </c>
      <c r="AK157" s="88">
        <v>1388</v>
      </c>
      <c r="AL157" s="88">
        <v>284</v>
      </c>
      <c r="AM157" s="88" t="s">
        <v>1705</v>
      </c>
      <c r="AN157" s="100" t="str">
        <f>HYPERLINK("https://www.youtube.com/watch?v=QXKSVWnyOSM")</f>
        <v>https://www.youtube.com/watch?v=QXKSVWnyOSM</v>
      </c>
      <c r="AO157" s="88" t="str">
        <f>REPLACE(INDEX(GroupVertices[Group],MATCH(Vertices[[#This Row],[Vertex]],GroupVertices[Vertex],0)),1,1,"")</f>
        <v>1</v>
      </c>
      <c r="AP157" s="48">
        <v>2</v>
      </c>
      <c r="AQ157" s="49">
        <v>5.555555555555555</v>
      </c>
      <c r="AR157" s="48">
        <v>0</v>
      </c>
      <c r="AS157" s="49">
        <v>0</v>
      </c>
      <c r="AT157" s="48">
        <v>0</v>
      </c>
      <c r="AU157" s="49">
        <v>0</v>
      </c>
      <c r="AV157" s="48">
        <v>34</v>
      </c>
      <c r="AW157" s="49">
        <v>94.44444444444444</v>
      </c>
      <c r="AX157" s="48">
        <v>36</v>
      </c>
      <c r="AY157" s="48"/>
      <c r="AZ157" s="48"/>
      <c r="BA157" s="48"/>
      <c r="BB157" s="48"/>
      <c r="BC157" s="2"/>
      <c r="BD157" s="3"/>
      <c r="BE157" s="3"/>
      <c r="BF157" s="3"/>
      <c r="BG157" s="3"/>
    </row>
    <row r="158" spans="1:59" ht="15">
      <c r="A158" s="65" t="s">
        <v>230</v>
      </c>
      <c r="B158" s="66"/>
      <c r="C158" s="66"/>
      <c r="D158" s="67">
        <v>81.18933150614696</v>
      </c>
      <c r="E158" s="69"/>
      <c r="F158" s="98" t="str">
        <f>HYPERLINK("https://i.ytimg.com/vi/q3C2TiR7Nwk/default.jpg")</f>
        <v>https://i.ytimg.com/vi/q3C2TiR7Nwk/default.jpg</v>
      </c>
      <c r="G158" s="66"/>
      <c r="H158" s="70" t="s">
        <v>660</v>
      </c>
      <c r="I158" s="71"/>
      <c r="J158" s="71" t="s">
        <v>75</v>
      </c>
      <c r="K158" s="70" t="s">
        <v>660</v>
      </c>
      <c r="L158" s="74">
        <v>1818.8181818181818</v>
      </c>
      <c r="M158" s="75">
        <v>1070.508544921875</v>
      </c>
      <c r="N158" s="75">
        <v>8386.1337890625</v>
      </c>
      <c r="O158" s="76"/>
      <c r="P158" s="77"/>
      <c r="Q158" s="77"/>
      <c r="R158" s="91"/>
      <c r="S158" s="48">
        <v>2</v>
      </c>
      <c r="T158" s="48">
        <v>20</v>
      </c>
      <c r="U158" s="49">
        <v>8427.05095</v>
      </c>
      <c r="V158" s="49">
        <v>0.001082</v>
      </c>
      <c r="W158" s="49">
        <v>0.020099</v>
      </c>
      <c r="X158" s="49">
        <v>6.411195</v>
      </c>
      <c r="Y158" s="49">
        <v>0.01948051948051948</v>
      </c>
      <c r="Z158" s="49">
        <v>0</v>
      </c>
      <c r="AA158" s="72">
        <v>158</v>
      </c>
      <c r="AB158" s="72"/>
      <c r="AC158" s="73"/>
      <c r="AD158" s="88" t="s">
        <v>660</v>
      </c>
      <c r="AE158" s="88" t="s">
        <v>936</v>
      </c>
      <c r="AF158" s="88" t="s">
        <v>1201</v>
      </c>
      <c r="AG158" s="88" t="s">
        <v>1377</v>
      </c>
      <c r="AH158" s="88" t="s">
        <v>1579</v>
      </c>
      <c r="AI158" s="88">
        <v>11057</v>
      </c>
      <c r="AJ158" s="88">
        <v>64</v>
      </c>
      <c r="AK158" s="88">
        <v>179</v>
      </c>
      <c r="AL158" s="88">
        <v>11</v>
      </c>
      <c r="AM158" s="88" t="s">
        <v>1705</v>
      </c>
      <c r="AN158" s="100" t="str">
        <f>HYPERLINK("https://www.youtube.com/watch?v=q3C2TiR7Nwk")</f>
        <v>https://www.youtube.com/watch?v=q3C2TiR7Nwk</v>
      </c>
      <c r="AO158" s="88" t="str">
        <f>REPLACE(INDEX(GroupVertices[Group],MATCH(Vertices[[#This Row],[Vertex]],GroupVertices[Vertex],0)),1,1,"")</f>
        <v>1</v>
      </c>
      <c r="AP158" s="48">
        <v>0</v>
      </c>
      <c r="AQ158" s="49">
        <v>0</v>
      </c>
      <c r="AR158" s="48">
        <v>0</v>
      </c>
      <c r="AS158" s="49">
        <v>0</v>
      </c>
      <c r="AT158" s="48">
        <v>0</v>
      </c>
      <c r="AU158" s="49">
        <v>0</v>
      </c>
      <c r="AV158" s="48">
        <v>16</v>
      </c>
      <c r="AW158" s="49">
        <v>100</v>
      </c>
      <c r="AX158" s="48">
        <v>16</v>
      </c>
      <c r="AY158" s="121" t="s">
        <v>2747</v>
      </c>
      <c r="AZ158" s="121" t="s">
        <v>2747</v>
      </c>
      <c r="BA158" s="121" t="s">
        <v>2747</v>
      </c>
      <c r="BB158" s="121" t="s">
        <v>2747</v>
      </c>
      <c r="BC158" s="2"/>
      <c r="BD158" s="3"/>
      <c r="BE158" s="3"/>
      <c r="BF158" s="3"/>
      <c r="BG158" s="3"/>
    </row>
    <row r="159" spans="1:59" ht="15">
      <c r="A159" s="65" t="s">
        <v>374</v>
      </c>
      <c r="B159" s="66"/>
      <c r="C159" s="66"/>
      <c r="D159" s="67">
        <v>89.39087399577008</v>
      </c>
      <c r="E159" s="69"/>
      <c r="F159" s="98" t="str">
        <f>HYPERLINK("https://i.ytimg.com/vi/M9P9DFxk5k8/default.jpg")</f>
        <v>https://i.ytimg.com/vi/M9P9DFxk5k8/default.jpg</v>
      </c>
      <c r="G159" s="66"/>
      <c r="H159" s="70" t="s">
        <v>661</v>
      </c>
      <c r="I159" s="71"/>
      <c r="J159" s="71" t="s">
        <v>159</v>
      </c>
      <c r="K159" s="70" t="s">
        <v>661</v>
      </c>
      <c r="L159" s="74">
        <v>909.9090909090909</v>
      </c>
      <c r="M159" s="75">
        <v>1714.1636962890625</v>
      </c>
      <c r="N159" s="75">
        <v>4696.06201171875</v>
      </c>
      <c r="O159" s="76"/>
      <c r="P159" s="77"/>
      <c r="Q159" s="77"/>
      <c r="R159" s="91"/>
      <c r="S159" s="48">
        <v>1</v>
      </c>
      <c r="T159" s="48">
        <v>0</v>
      </c>
      <c r="U159" s="49">
        <v>0</v>
      </c>
      <c r="V159" s="49">
        <v>0.000796</v>
      </c>
      <c r="W159" s="49">
        <v>0.002249</v>
      </c>
      <c r="X159" s="49">
        <v>0.381526</v>
      </c>
      <c r="Y159" s="49">
        <v>0</v>
      </c>
      <c r="Z159" s="49">
        <v>0</v>
      </c>
      <c r="AA159" s="72">
        <v>159</v>
      </c>
      <c r="AB159" s="72"/>
      <c r="AC159" s="73"/>
      <c r="AD159" s="88" t="s">
        <v>661</v>
      </c>
      <c r="AE159" s="88" t="s">
        <v>937</v>
      </c>
      <c r="AF159" s="88" t="s">
        <v>1089</v>
      </c>
      <c r="AG159" s="88" t="s">
        <v>1330</v>
      </c>
      <c r="AH159" s="88" t="s">
        <v>1580</v>
      </c>
      <c r="AI159" s="88">
        <v>86726</v>
      </c>
      <c r="AJ159" s="88">
        <v>0</v>
      </c>
      <c r="AK159" s="88">
        <v>889</v>
      </c>
      <c r="AL159" s="88">
        <v>78</v>
      </c>
      <c r="AM159" s="88" t="s">
        <v>1705</v>
      </c>
      <c r="AN159" s="100" t="str">
        <f>HYPERLINK("https://www.youtube.com/watch?v=M9P9DFxk5k8")</f>
        <v>https://www.youtube.com/watch?v=M9P9DFxk5k8</v>
      </c>
      <c r="AO159" s="88" t="str">
        <f>REPLACE(INDEX(GroupVertices[Group],MATCH(Vertices[[#This Row],[Vertex]],GroupVertices[Vertex],0)),1,1,"")</f>
        <v>1</v>
      </c>
      <c r="AP159" s="48">
        <v>0</v>
      </c>
      <c r="AQ159" s="49">
        <v>0</v>
      </c>
      <c r="AR159" s="48">
        <v>1</v>
      </c>
      <c r="AS159" s="49">
        <v>8.333333333333334</v>
      </c>
      <c r="AT159" s="48">
        <v>0</v>
      </c>
      <c r="AU159" s="49">
        <v>0</v>
      </c>
      <c r="AV159" s="48">
        <v>11</v>
      </c>
      <c r="AW159" s="49">
        <v>91.66666666666667</v>
      </c>
      <c r="AX159" s="48">
        <v>12</v>
      </c>
      <c r="AY159" s="48"/>
      <c r="AZ159" s="48"/>
      <c r="BA159" s="48"/>
      <c r="BB159" s="48"/>
      <c r="BC159" s="2"/>
      <c r="BD159" s="3"/>
      <c r="BE159" s="3"/>
      <c r="BF159" s="3"/>
      <c r="BG159" s="3"/>
    </row>
    <row r="160" spans="1:59" ht="15">
      <c r="A160" s="65" t="s">
        <v>375</v>
      </c>
      <c r="B160" s="66"/>
      <c r="C160" s="66"/>
      <c r="D160" s="67">
        <v>318.1084379818513</v>
      </c>
      <c r="E160" s="69"/>
      <c r="F160" s="98" t="str">
        <f>HYPERLINK("https://i.ytimg.com/vi/WP42rnBsQpY/default.jpg")</f>
        <v>https://i.ytimg.com/vi/WP42rnBsQpY/default.jpg</v>
      </c>
      <c r="G160" s="66"/>
      <c r="H160" s="70" t="s">
        <v>662</v>
      </c>
      <c r="I160" s="71"/>
      <c r="J160" s="71" t="s">
        <v>159</v>
      </c>
      <c r="K160" s="70" t="s">
        <v>662</v>
      </c>
      <c r="L160" s="74">
        <v>909.9090909090909</v>
      </c>
      <c r="M160" s="75">
        <v>2338.572021484375</v>
      </c>
      <c r="N160" s="75">
        <v>5629.908203125</v>
      </c>
      <c r="O160" s="76"/>
      <c r="P160" s="77"/>
      <c r="Q160" s="77"/>
      <c r="R160" s="91"/>
      <c r="S160" s="48">
        <v>1</v>
      </c>
      <c r="T160" s="48">
        <v>0</v>
      </c>
      <c r="U160" s="49">
        <v>0</v>
      </c>
      <c r="V160" s="49">
        <v>0.000796</v>
      </c>
      <c r="W160" s="49">
        <v>0.002249</v>
      </c>
      <c r="X160" s="49">
        <v>0.381526</v>
      </c>
      <c r="Y160" s="49">
        <v>0</v>
      </c>
      <c r="Z160" s="49">
        <v>0</v>
      </c>
      <c r="AA160" s="72">
        <v>160</v>
      </c>
      <c r="AB160" s="72"/>
      <c r="AC160" s="73"/>
      <c r="AD160" s="88" t="s">
        <v>662</v>
      </c>
      <c r="AE160" s="88" t="s">
        <v>938</v>
      </c>
      <c r="AF160" s="88" t="s">
        <v>1202</v>
      </c>
      <c r="AG160" s="88" t="s">
        <v>1330</v>
      </c>
      <c r="AH160" s="88" t="s">
        <v>1581</v>
      </c>
      <c r="AI160" s="88">
        <v>2196918</v>
      </c>
      <c r="AJ160" s="88">
        <v>0</v>
      </c>
      <c r="AK160" s="88">
        <v>20647</v>
      </c>
      <c r="AL160" s="88">
        <v>461</v>
      </c>
      <c r="AM160" s="88" t="s">
        <v>1705</v>
      </c>
      <c r="AN160" s="100" t="str">
        <f>HYPERLINK("https://www.youtube.com/watch?v=WP42rnBsQpY")</f>
        <v>https://www.youtube.com/watch?v=WP42rnBsQpY</v>
      </c>
      <c r="AO160" s="88" t="str">
        <f>REPLACE(INDEX(GroupVertices[Group],MATCH(Vertices[[#This Row],[Vertex]],GroupVertices[Vertex],0)),1,1,"")</f>
        <v>1</v>
      </c>
      <c r="AP160" s="48">
        <v>1</v>
      </c>
      <c r="AQ160" s="49">
        <v>1.8518518518518519</v>
      </c>
      <c r="AR160" s="48">
        <v>3</v>
      </c>
      <c r="AS160" s="49">
        <v>5.555555555555555</v>
      </c>
      <c r="AT160" s="48">
        <v>0</v>
      </c>
      <c r="AU160" s="49">
        <v>0</v>
      </c>
      <c r="AV160" s="48">
        <v>50</v>
      </c>
      <c r="AW160" s="49">
        <v>92.5925925925926</v>
      </c>
      <c r="AX160" s="48">
        <v>54</v>
      </c>
      <c r="AY160" s="48"/>
      <c r="AZ160" s="48"/>
      <c r="BA160" s="48"/>
      <c r="BB160" s="48"/>
      <c r="BC160" s="2"/>
      <c r="BD160" s="3"/>
      <c r="BE160" s="3"/>
      <c r="BF160" s="3"/>
      <c r="BG160" s="3"/>
    </row>
    <row r="161" spans="1:59" ht="15">
      <c r="A161" s="65" t="s">
        <v>376</v>
      </c>
      <c r="B161" s="66"/>
      <c r="C161" s="66"/>
      <c r="D161" s="67">
        <v>86.249274277765</v>
      </c>
      <c r="E161" s="69"/>
      <c r="F161" s="98" t="str">
        <f>HYPERLINK("https://i.ytimg.com/vi/z8IfA9CAT-I/default.jpg")</f>
        <v>https://i.ytimg.com/vi/z8IfA9CAT-I/default.jpg</v>
      </c>
      <c r="G161" s="66"/>
      <c r="H161" s="70" t="s">
        <v>663</v>
      </c>
      <c r="I161" s="71"/>
      <c r="J161" s="71" t="s">
        <v>159</v>
      </c>
      <c r="K161" s="70" t="s">
        <v>663</v>
      </c>
      <c r="L161" s="74">
        <v>909.9090909090909</v>
      </c>
      <c r="M161" s="75">
        <v>2104.562744140625</v>
      </c>
      <c r="N161" s="75">
        <v>5269.53955078125</v>
      </c>
      <c r="O161" s="76"/>
      <c r="P161" s="77"/>
      <c r="Q161" s="77"/>
      <c r="R161" s="91"/>
      <c r="S161" s="48">
        <v>1</v>
      </c>
      <c r="T161" s="48">
        <v>0</v>
      </c>
      <c r="U161" s="49">
        <v>0</v>
      </c>
      <c r="V161" s="49">
        <v>0.000796</v>
      </c>
      <c r="W161" s="49">
        <v>0.002249</v>
      </c>
      <c r="X161" s="49">
        <v>0.381526</v>
      </c>
      <c r="Y161" s="49">
        <v>0</v>
      </c>
      <c r="Z161" s="49">
        <v>0</v>
      </c>
      <c r="AA161" s="72">
        <v>161</v>
      </c>
      <c r="AB161" s="72"/>
      <c r="AC161" s="73"/>
      <c r="AD161" s="88" t="s">
        <v>663</v>
      </c>
      <c r="AE161" s="88" t="s">
        <v>939</v>
      </c>
      <c r="AF161" s="88" t="s">
        <v>1089</v>
      </c>
      <c r="AG161" s="88" t="s">
        <v>1330</v>
      </c>
      <c r="AH161" s="88" t="s">
        <v>1582</v>
      </c>
      <c r="AI161" s="88">
        <v>57741</v>
      </c>
      <c r="AJ161" s="88">
        <v>0</v>
      </c>
      <c r="AK161" s="88">
        <v>1059</v>
      </c>
      <c r="AL161" s="88">
        <v>30</v>
      </c>
      <c r="AM161" s="88" t="s">
        <v>1705</v>
      </c>
      <c r="AN161" s="100" t="str">
        <f>HYPERLINK("https://www.youtube.com/watch?v=z8IfA9CAT-I")</f>
        <v>https://www.youtube.com/watch?v=z8IfA9CAT-I</v>
      </c>
      <c r="AO161" s="88" t="str">
        <f>REPLACE(INDEX(GroupVertices[Group],MATCH(Vertices[[#This Row],[Vertex]],GroupVertices[Vertex],0)),1,1,"")</f>
        <v>1</v>
      </c>
      <c r="AP161" s="48">
        <v>0</v>
      </c>
      <c r="AQ161" s="49">
        <v>0</v>
      </c>
      <c r="AR161" s="48">
        <v>1</v>
      </c>
      <c r="AS161" s="49">
        <v>8.333333333333334</v>
      </c>
      <c r="AT161" s="48">
        <v>0</v>
      </c>
      <c r="AU161" s="49">
        <v>0</v>
      </c>
      <c r="AV161" s="48">
        <v>11</v>
      </c>
      <c r="AW161" s="49">
        <v>91.66666666666667</v>
      </c>
      <c r="AX161" s="48">
        <v>12</v>
      </c>
      <c r="AY161" s="48"/>
      <c r="AZ161" s="48"/>
      <c r="BA161" s="48"/>
      <c r="BB161" s="48"/>
      <c r="BC161" s="2"/>
      <c r="BD161" s="3"/>
      <c r="BE161" s="3"/>
      <c r="BF161" s="3"/>
      <c r="BG161" s="3"/>
    </row>
    <row r="162" spans="1:59" ht="15">
      <c r="A162" s="65" t="s">
        <v>377</v>
      </c>
      <c r="B162" s="66"/>
      <c r="C162" s="66"/>
      <c r="D162" s="67">
        <v>82.04775723554494</v>
      </c>
      <c r="E162" s="69"/>
      <c r="F162" s="98" t="str">
        <f>HYPERLINK("https://i.ytimg.com/vi/i5TqWNtycIo/default.jpg")</f>
        <v>https://i.ytimg.com/vi/i5TqWNtycIo/default.jpg</v>
      </c>
      <c r="G162" s="66"/>
      <c r="H162" s="70" t="s">
        <v>664</v>
      </c>
      <c r="I162" s="71"/>
      <c r="J162" s="71" t="s">
        <v>159</v>
      </c>
      <c r="K162" s="70" t="s">
        <v>664</v>
      </c>
      <c r="L162" s="74">
        <v>909.9090909090909</v>
      </c>
      <c r="M162" s="75">
        <v>1469.1639404296875</v>
      </c>
      <c r="N162" s="75">
        <v>4816.634765625</v>
      </c>
      <c r="O162" s="76"/>
      <c r="P162" s="77"/>
      <c r="Q162" s="77"/>
      <c r="R162" s="91"/>
      <c r="S162" s="48">
        <v>1</v>
      </c>
      <c r="T162" s="48">
        <v>0</v>
      </c>
      <c r="U162" s="49">
        <v>0</v>
      </c>
      <c r="V162" s="49">
        <v>0.000796</v>
      </c>
      <c r="W162" s="49">
        <v>0.002249</v>
      </c>
      <c r="X162" s="49">
        <v>0.381526</v>
      </c>
      <c r="Y162" s="49">
        <v>0</v>
      </c>
      <c r="Z162" s="49">
        <v>0</v>
      </c>
      <c r="AA162" s="72">
        <v>162</v>
      </c>
      <c r="AB162" s="72"/>
      <c r="AC162" s="73"/>
      <c r="AD162" s="88" t="s">
        <v>664</v>
      </c>
      <c r="AE162" s="88" t="s">
        <v>940</v>
      </c>
      <c r="AF162" s="88" t="s">
        <v>1089</v>
      </c>
      <c r="AG162" s="88" t="s">
        <v>1330</v>
      </c>
      <c r="AH162" s="88" t="s">
        <v>1583</v>
      </c>
      <c r="AI162" s="88">
        <v>18977</v>
      </c>
      <c r="AJ162" s="88">
        <v>0</v>
      </c>
      <c r="AK162" s="88">
        <v>264</v>
      </c>
      <c r="AL162" s="88">
        <v>26</v>
      </c>
      <c r="AM162" s="88" t="s">
        <v>1705</v>
      </c>
      <c r="AN162" s="100" t="str">
        <f>HYPERLINK("https://www.youtube.com/watch?v=i5TqWNtycIo")</f>
        <v>https://www.youtube.com/watch?v=i5TqWNtycIo</v>
      </c>
      <c r="AO162" s="88" t="str">
        <f>REPLACE(INDEX(GroupVertices[Group],MATCH(Vertices[[#This Row],[Vertex]],GroupVertices[Vertex],0)),1,1,"")</f>
        <v>1</v>
      </c>
      <c r="AP162" s="48">
        <v>0</v>
      </c>
      <c r="AQ162" s="49">
        <v>0</v>
      </c>
      <c r="AR162" s="48">
        <v>1</v>
      </c>
      <c r="AS162" s="49">
        <v>8.333333333333334</v>
      </c>
      <c r="AT162" s="48">
        <v>0</v>
      </c>
      <c r="AU162" s="49">
        <v>0</v>
      </c>
      <c r="AV162" s="48">
        <v>11</v>
      </c>
      <c r="AW162" s="49">
        <v>91.66666666666667</v>
      </c>
      <c r="AX162" s="48">
        <v>12</v>
      </c>
      <c r="AY162" s="48"/>
      <c r="AZ162" s="48"/>
      <c r="BA162" s="48"/>
      <c r="BB162" s="48"/>
      <c r="BC162" s="2"/>
      <c r="BD162" s="3"/>
      <c r="BE162" s="3"/>
      <c r="BF162" s="3"/>
      <c r="BG162" s="3"/>
    </row>
    <row r="163" spans="1:59" ht="15">
      <c r="A163" s="65" t="s">
        <v>378</v>
      </c>
      <c r="B163" s="66"/>
      <c r="C163" s="66"/>
      <c r="D163" s="67">
        <v>230.61512970635582</v>
      </c>
      <c r="E163" s="69"/>
      <c r="F163" s="98" t="str">
        <f>HYPERLINK("https://i.ytimg.com/vi/gerQpTFIndI/default.jpg")</f>
        <v>https://i.ytimg.com/vi/gerQpTFIndI/default.jpg</v>
      </c>
      <c r="G163" s="66"/>
      <c r="H163" s="70" t="s">
        <v>665</v>
      </c>
      <c r="I163" s="71"/>
      <c r="J163" s="71" t="s">
        <v>159</v>
      </c>
      <c r="K163" s="70" t="s">
        <v>665</v>
      </c>
      <c r="L163" s="74">
        <v>909.9090909090909</v>
      </c>
      <c r="M163" s="75">
        <v>2547.038330078125</v>
      </c>
      <c r="N163" s="75">
        <v>5613.3505859375</v>
      </c>
      <c r="O163" s="76"/>
      <c r="P163" s="77"/>
      <c r="Q163" s="77"/>
      <c r="R163" s="91"/>
      <c r="S163" s="48">
        <v>1</v>
      </c>
      <c r="T163" s="48">
        <v>0</v>
      </c>
      <c r="U163" s="49">
        <v>0</v>
      </c>
      <c r="V163" s="49">
        <v>0.000796</v>
      </c>
      <c r="W163" s="49">
        <v>0.002249</v>
      </c>
      <c r="X163" s="49">
        <v>0.381526</v>
      </c>
      <c r="Y163" s="49">
        <v>0</v>
      </c>
      <c r="Z163" s="49">
        <v>0</v>
      </c>
      <c r="AA163" s="72">
        <v>163</v>
      </c>
      <c r="AB163" s="72"/>
      <c r="AC163" s="73"/>
      <c r="AD163" s="88" t="s">
        <v>665</v>
      </c>
      <c r="AE163" s="88" t="s">
        <v>941</v>
      </c>
      <c r="AF163" s="88" t="s">
        <v>1203</v>
      </c>
      <c r="AG163" s="88" t="s">
        <v>1378</v>
      </c>
      <c r="AH163" s="88" t="s">
        <v>1584</v>
      </c>
      <c r="AI163" s="88">
        <v>1389688</v>
      </c>
      <c r="AJ163" s="88">
        <v>7703</v>
      </c>
      <c r="AK163" s="88">
        <v>15578</v>
      </c>
      <c r="AL163" s="88">
        <v>1855</v>
      </c>
      <c r="AM163" s="88" t="s">
        <v>1705</v>
      </c>
      <c r="AN163" s="100" t="str">
        <f>HYPERLINK("https://www.youtube.com/watch?v=gerQpTFIndI")</f>
        <v>https://www.youtube.com/watch?v=gerQpTFIndI</v>
      </c>
      <c r="AO163" s="88" t="str">
        <f>REPLACE(INDEX(GroupVertices[Group],MATCH(Vertices[[#This Row],[Vertex]],GroupVertices[Vertex],0)),1,1,"")</f>
        <v>1</v>
      </c>
      <c r="AP163" s="48">
        <v>1</v>
      </c>
      <c r="AQ163" s="49">
        <v>1.8181818181818181</v>
      </c>
      <c r="AR163" s="48">
        <v>2</v>
      </c>
      <c r="AS163" s="49">
        <v>3.6363636363636362</v>
      </c>
      <c r="AT163" s="48">
        <v>0</v>
      </c>
      <c r="AU163" s="49">
        <v>0</v>
      </c>
      <c r="AV163" s="48">
        <v>52</v>
      </c>
      <c r="AW163" s="49">
        <v>94.54545454545455</v>
      </c>
      <c r="AX163" s="48">
        <v>55</v>
      </c>
      <c r="AY163" s="48"/>
      <c r="AZ163" s="48"/>
      <c r="BA163" s="48"/>
      <c r="BB163" s="48"/>
      <c r="BC163" s="2"/>
      <c r="BD163" s="3"/>
      <c r="BE163" s="3"/>
      <c r="BF163" s="3"/>
      <c r="BG163" s="3"/>
    </row>
    <row r="164" spans="1:59" ht="15">
      <c r="A164" s="65" t="s">
        <v>379</v>
      </c>
      <c r="B164" s="66"/>
      <c r="C164" s="66"/>
      <c r="D164" s="67">
        <v>536.0016003589026</v>
      </c>
      <c r="E164" s="69"/>
      <c r="F164" s="98" t="str">
        <f>HYPERLINK("https://i.ytimg.com/vi/nC3DIkP7F74/default.jpg")</f>
        <v>https://i.ytimg.com/vi/nC3DIkP7F74/default.jpg</v>
      </c>
      <c r="G164" s="66"/>
      <c r="H164" s="70" t="s">
        <v>666</v>
      </c>
      <c r="I164" s="71"/>
      <c r="J164" s="71" t="s">
        <v>159</v>
      </c>
      <c r="K164" s="70" t="s">
        <v>666</v>
      </c>
      <c r="L164" s="74">
        <v>909.9090909090909</v>
      </c>
      <c r="M164" s="75">
        <v>2061.549072265625</v>
      </c>
      <c r="N164" s="75">
        <v>4839.44921875</v>
      </c>
      <c r="O164" s="76"/>
      <c r="P164" s="77"/>
      <c r="Q164" s="77"/>
      <c r="R164" s="91"/>
      <c r="S164" s="48">
        <v>1</v>
      </c>
      <c r="T164" s="48">
        <v>0</v>
      </c>
      <c r="U164" s="49">
        <v>0</v>
      </c>
      <c r="V164" s="49">
        <v>0.000796</v>
      </c>
      <c r="W164" s="49">
        <v>0.002249</v>
      </c>
      <c r="X164" s="49">
        <v>0.381526</v>
      </c>
      <c r="Y164" s="49">
        <v>0</v>
      </c>
      <c r="Z164" s="49">
        <v>0</v>
      </c>
      <c r="AA164" s="72">
        <v>164</v>
      </c>
      <c r="AB164" s="72"/>
      <c r="AC164" s="73"/>
      <c r="AD164" s="88" t="s">
        <v>666</v>
      </c>
      <c r="AE164" s="88" t="s">
        <v>942</v>
      </c>
      <c r="AF164" s="88" t="s">
        <v>1204</v>
      </c>
      <c r="AG164" s="88" t="s">
        <v>1330</v>
      </c>
      <c r="AH164" s="88" t="s">
        <v>1585</v>
      </c>
      <c r="AI164" s="88">
        <v>4207242</v>
      </c>
      <c r="AJ164" s="88">
        <v>0</v>
      </c>
      <c r="AK164" s="88">
        <v>39688</v>
      </c>
      <c r="AL164" s="88">
        <v>3005</v>
      </c>
      <c r="AM164" s="88" t="s">
        <v>1705</v>
      </c>
      <c r="AN164" s="100" t="str">
        <f>HYPERLINK("https://www.youtube.com/watch?v=nC3DIkP7F74")</f>
        <v>https://www.youtube.com/watch?v=nC3DIkP7F74</v>
      </c>
      <c r="AO164" s="88" t="str">
        <f>REPLACE(INDEX(GroupVertices[Group],MATCH(Vertices[[#This Row],[Vertex]],GroupVertices[Vertex],0)),1,1,"")</f>
        <v>1</v>
      </c>
      <c r="AP164" s="48">
        <v>2</v>
      </c>
      <c r="AQ164" s="49">
        <v>2.857142857142857</v>
      </c>
      <c r="AR164" s="48">
        <v>1</v>
      </c>
      <c r="AS164" s="49">
        <v>1.4285714285714286</v>
      </c>
      <c r="AT164" s="48">
        <v>0</v>
      </c>
      <c r="AU164" s="49">
        <v>0</v>
      </c>
      <c r="AV164" s="48">
        <v>67</v>
      </c>
      <c r="AW164" s="49">
        <v>95.71428571428571</v>
      </c>
      <c r="AX164" s="48">
        <v>70</v>
      </c>
      <c r="AY164" s="48"/>
      <c r="AZ164" s="48"/>
      <c r="BA164" s="48"/>
      <c r="BB164" s="48"/>
      <c r="BC164" s="2"/>
      <c r="BD164" s="3"/>
      <c r="BE164" s="3"/>
      <c r="BF164" s="3"/>
      <c r="BG164" s="3"/>
    </row>
    <row r="165" spans="1:59" ht="15">
      <c r="A165" s="65" t="s">
        <v>380</v>
      </c>
      <c r="B165" s="66"/>
      <c r="C165" s="66"/>
      <c r="D165" s="67">
        <v>88.0506676644562</v>
      </c>
      <c r="E165" s="69"/>
      <c r="F165" s="98" t="str">
        <f>HYPERLINK("https://i.ytimg.com/vi/mIoy7YJ8PZY/default.jpg")</f>
        <v>https://i.ytimg.com/vi/mIoy7YJ8PZY/default.jpg</v>
      </c>
      <c r="G165" s="66"/>
      <c r="H165" s="70" t="s">
        <v>667</v>
      </c>
      <c r="I165" s="71"/>
      <c r="J165" s="71" t="s">
        <v>159</v>
      </c>
      <c r="K165" s="70" t="s">
        <v>667</v>
      </c>
      <c r="L165" s="74">
        <v>909.9090909090909</v>
      </c>
      <c r="M165" s="75">
        <v>2375.962646484375</v>
      </c>
      <c r="N165" s="75">
        <v>5156.8359375</v>
      </c>
      <c r="O165" s="76"/>
      <c r="P165" s="77"/>
      <c r="Q165" s="77"/>
      <c r="R165" s="91"/>
      <c r="S165" s="48">
        <v>1</v>
      </c>
      <c r="T165" s="48">
        <v>0</v>
      </c>
      <c r="U165" s="49">
        <v>0</v>
      </c>
      <c r="V165" s="49">
        <v>0.000796</v>
      </c>
      <c r="W165" s="49">
        <v>0.002249</v>
      </c>
      <c r="X165" s="49">
        <v>0.381526</v>
      </c>
      <c r="Y165" s="49">
        <v>0</v>
      </c>
      <c r="Z165" s="49">
        <v>0</v>
      </c>
      <c r="AA165" s="72">
        <v>165</v>
      </c>
      <c r="AB165" s="72"/>
      <c r="AC165" s="73"/>
      <c r="AD165" s="88" t="s">
        <v>667</v>
      </c>
      <c r="AE165" s="88" t="s">
        <v>943</v>
      </c>
      <c r="AF165" s="88" t="s">
        <v>1205</v>
      </c>
      <c r="AG165" s="88" t="s">
        <v>1369</v>
      </c>
      <c r="AH165" s="88" t="s">
        <v>1586</v>
      </c>
      <c r="AI165" s="88">
        <v>74361</v>
      </c>
      <c r="AJ165" s="88">
        <v>0</v>
      </c>
      <c r="AK165" s="88">
        <v>404</v>
      </c>
      <c r="AL165" s="88">
        <v>71</v>
      </c>
      <c r="AM165" s="88" t="s">
        <v>1705</v>
      </c>
      <c r="AN165" s="100" t="str">
        <f>HYPERLINK("https://www.youtube.com/watch?v=mIoy7YJ8PZY")</f>
        <v>https://www.youtube.com/watch?v=mIoy7YJ8PZY</v>
      </c>
      <c r="AO165" s="88" t="str">
        <f>REPLACE(INDEX(GroupVertices[Group],MATCH(Vertices[[#This Row],[Vertex]],GroupVertices[Vertex],0)),1,1,"")</f>
        <v>1</v>
      </c>
      <c r="AP165" s="48">
        <v>2</v>
      </c>
      <c r="AQ165" s="49">
        <v>6.666666666666667</v>
      </c>
      <c r="AR165" s="48">
        <v>0</v>
      </c>
      <c r="AS165" s="49">
        <v>0</v>
      </c>
      <c r="AT165" s="48">
        <v>0</v>
      </c>
      <c r="AU165" s="49">
        <v>0</v>
      </c>
      <c r="AV165" s="48">
        <v>28</v>
      </c>
      <c r="AW165" s="49">
        <v>93.33333333333333</v>
      </c>
      <c r="AX165" s="48">
        <v>30</v>
      </c>
      <c r="AY165" s="48"/>
      <c r="AZ165" s="48"/>
      <c r="BA165" s="48"/>
      <c r="BB165" s="48"/>
      <c r="BC165" s="2"/>
      <c r="BD165" s="3"/>
      <c r="BE165" s="3"/>
      <c r="BF165" s="3"/>
      <c r="BG165" s="3"/>
    </row>
    <row r="166" spans="1:59" ht="15">
      <c r="A166" s="65" t="s">
        <v>381</v>
      </c>
      <c r="B166" s="66"/>
      <c r="C166" s="66"/>
      <c r="D166" s="67">
        <v>80.61954058955035</v>
      </c>
      <c r="E166" s="69"/>
      <c r="F166" s="98" t="str">
        <f>HYPERLINK("https://i.ytimg.com/vi/1K4Dhp1chAI/default.jpg")</f>
        <v>https://i.ytimg.com/vi/1K4Dhp1chAI/default.jpg</v>
      </c>
      <c r="G166" s="66"/>
      <c r="H166" s="70" t="s">
        <v>668</v>
      </c>
      <c r="I166" s="71"/>
      <c r="J166" s="71" t="s">
        <v>75</v>
      </c>
      <c r="K166" s="70" t="s">
        <v>668</v>
      </c>
      <c r="L166" s="74">
        <v>2727.7272727272725</v>
      </c>
      <c r="M166" s="75">
        <v>1150.0504150390625</v>
      </c>
      <c r="N166" s="75">
        <v>7019.7001953125</v>
      </c>
      <c r="O166" s="76"/>
      <c r="P166" s="77"/>
      <c r="Q166" s="77"/>
      <c r="R166" s="91"/>
      <c r="S166" s="48">
        <v>3</v>
      </c>
      <c r="T166" s="48">
        <v>0</v>
      </c>
      <c r="U166" s="49">
        <v>95.310177</v>
      </c>
      <c r="V166" s="49">
        <v>0.000858</v>
      </c>
      <c r="W166" s="49">
        <v>0.006271</v>
      </c>
      <c r="X166" s="49">
        <v>0.856697</v>
      </c>
      <c r="Y166" s="49">
        <v>0.16666666666666666</v>
      </c>
      <c r="Z166" s="49">
        <v>0</v>
      </c>
      <c r="AA166" s="72">
        <v>166</v>
      </c>
      <c r="AB166" s="72"/>
      <c r="AC166" s="73"/>
      <c r="AD166" s="88" t="s">
        <v>668</v>
      </c>
      <c r="AE166" s="88" t="s">
        <v>944</v>
      </c>
      <c r="AF166" s="88" t="s">
        <v>1206</v>
      </c>
      <c r="AG166" s="88" t="s">
        <v>1379</v>
      </c>
      <c r="AH166" s="88" t="s">
        <v>1587</v>
      </c>
      <c r="AI166" s="88">
        <v>5800</v>
      </c>
      <c r="AJ166" s="88">
        <v>16</v>
      </c>
      <c r="AK166" s="88">
        <v>65</v>
      </c>
      <c r="AL166" s="88">
        <v>7</v>
      </c>
      <c r="AM166" s="88" t="s">
        <v>1705</v>
      </c>
      <c r="AN166" s="100" t="str">
        <f>HYPERLINK("https://www.youtube.com/watch?v=1K4Dhp1chAI")</f>
        <v>https://www.youtube.com/watch?v=1K4Dhp1chAI</v>
      </c>
      <c r="AO166" s="88" t="str">
        <f>REPLACE(INDEX(GroupVertices[Group],MATCH(Vertices[[#This Row],[Vertex]],GroupVertices[Vertex],0)),1,1,"")</f>
        <v>1</v>
      </c>
      <c r="AP166" s="48">
        <v>0</v>
      </c>
      <c r="AQ166" s="49">
        <v>0</v>
      </c>
      <c r="AR166" s="48">
        <v>0</v>
      </c>
      <c r="AS166" s="49">
        <v>0</v>
      </c>
      <c r="AT166" s="48">
        <v>0</v>
      </c>
      <c r="AU166" s="49">
        <v>0</v>
      </c>
      <c r="AV166" s="48">
        <v>27</v>
      </c>
      <c r="AW166" s="49">
        <v>100</v>
      </c>
      <c r="AX166" s="48">
        <v>27</v>
      </c>
      <c r="AY166" s="48"/>
      <c r="AZ166" s="48"/>
      <c r="BA166" s="48"/>
      <c r="BB166" s="48"/>
      <c r="BC166" s="2"/>
      <c r="BD166" s="3"/>
      <c r="BE166" s="3"/>
      <c r="BF166" s="3"/>
      <c r="BG166" s="3"/>
    </row>
    <row r="167" spans="1:59" ht="15">
      <c r="A167" s="65" t="s">
        <v>227</v>
      </c>
      <c r="B167" s="66"/>
      <c r="C167" s="66"/>
      <c r="D167" s="67">
        <v>224.95439731124625</v>
      </c>
      <c r="E167" s="69"/>
      <c r="F167" s="98" t="str">
        <f>HYPERLINK("https://i.ytimg.com/vi/NIWnl5zLBIM/default.jpg")</f>
        <v>https://i.ytimg.com/vi/NIWnl5zLBIM/default.jpg</v>
      </c>
      <c r="G167" s="66"/>
      <c r="H167" s="70" t="s">
        <v>669</v>
      </c>
      <c r="I167" s="71"/>
      <c r="J167" s="71" t="s">
        <v>159</v>
      </c>
      <c r="K167" s="70" t="s">
        <v>669</v>
      </c>
      <c r="L167" s="74">
        <v>1</v>
      </c>
      <c r="M167" s="75">
        <v>9019.71875</v>
      </c>
      <c r="N167" s="75">
        <v>1629.740234375</v>
      </c>
      <c r="O167" s="76"/>
      <c r="P167" s="77"/>
      <c r="Q167" s="77"/>
      <c r="R167" s="91"/>
      <c r="S167" s="48">
        <v>0</v>
      </c>
      <c r="T167" s="48">
        <v>20</v>
      </c>
      <c r="U167" s="49">
        <v>8851.486403</v>
      </c>
      <c r="V167" s="49">
        <v>0.000965</v>
      </c>
      <c r="W167" s="49">
        <v>0.005744</v>
      </c>
      <c r="X167" s="49">
        <v>7.626831</v>
      </c>
      <c r="Y167" s="49">
        <v>0</v>
      </c>
      <c r="Z167" s="49">
        <v>0</v>
      </c>
      <c r="AA167" s="72">
        <v>167</v>
      </c>
      <c r="AB167" s="72"/>
      <c r="AC167" s="73"/>
      <c r="AD167" s="88" t="s">
        <v>669</v>
      </c>
      <c r="AE167" s="88" t="s">
        <v>945</v>
      </c>
      <c r="AF167" s="88" t="s">
        <v>1207</v>
      </c>
      <c r="AG167" s="88" t="s">
        <v>1358</v>
      </c>
      <c r="AH167" s="88" t="s">
        <v>1588</v>
      </c>
      <c r="AI167" s="88">
        <v>1337461</v>
      </c>
      <c r="AJ167" s="88">
        <v>8358</v>
      </c>
      <c r="AK167" s="88">
        <v>6792</v>
      </c>
      <c r="AL167" s="88">
        <v>9773</v>
      </c>
      <c r="AM167" s="88" t="s">
        <v>1705</v>
      </c>
      <c r="AN167" s="100" t="str">
        <f>HYPERLINK("https://www.youtube.com/watch?v=NIWnl5zLBIM")</f>
        <v>https://www.youtube.com/watch?v=NIWnl5zLBIM</v>
      </c>
      <c r="AO167" s="88" t="str">
        <f>REPLACE(INDEX(GroupVertices[Group],MATCH(Vertices[[#This Row],[Vertex]],GroupVertices[Vertex],0)),1,1,"")</f>
        <v>10</v>
      </c>
      <c r="AP167" s="48">
        <v>0</v>
      </c>
      <c r="AQ167" s="49">
        <v>0</v>
      </c>
      <c r="AR167" s="48">
        <v>1</v>
      </c>
      <c r="AS167" s="49">
        <v>3.7037037037037037</v>
      </c>
      <c r="AT167" s="48">
        <v>0</v>
      </c>
      <c r="AU167" s="49">
        <v>0</v>
      </c>
      <c r="AV167" s="48">
        <v>26</v>
      </c>
      <c r="AW167" s="49">
        <v>96.29629629629629</v>
      </c>
      <c r="AX167" s="48">
        <v>27</v>
      </c>
      <c r="AY167" s="121" t="s">
        <v>2747</v>
      </c>
      <c r="AZ167" s="121" t="s">
        <v>2747</v>
      </c>
      <c r="BA167" s="121" t="s">
        <v>2747</v>
      </c>
      <c r="BB167" s="121" t="s">
        <v>2747</v>
      </c>
      <c r="BC167" s="2"/>
      <c r="BD167" s="3"/>
      <c r="BE167" s="3"/>
      <c r="BF167" s="3"/>
      <c r="BG167" s="3"/>
    </row>
    <row r="168" spans="1:59" ht="15">
      <c r="A168" s="65" t="s">
        <v>382</v>
      </c>
      <c r="B168" s="66"/>
      <c r="C168" s="66"/>
      <c r="D168" s="67">
        <v>254.785341730348</v>
      </c>
      <c r="E168" s="69"/>
      <c r="F168" s="98" t="str">
        <f>HYPERLINK("https://i.ytimg.com/vi/Ja8IoXFaJik/default.jpg")</f>
        <v>https://i.ytimg.com/vi/Ja8IoXFaJik/default.jpg</v>
      </c>
      <c r="G168" s="66"/>
      <c r="H168" s="70" t="s">
        <v>670</v>
      </c>
      <c r="I168" s="71"/>
      <c r="J168" s="71" t="s">
        <v>159</v>
      </c>
      <c r="K168" s="70" t="s">
        <v>670</v>
      </c>
      <c r="L168" s="74">
        <v>909.9090909090909</v>
      </c>
      <c r="M168" s="75">
        <v>9510.3515625</v>
      </c>
      <c r="N168" s="75">
        <v>2918.00390625</v>
      </c>
      <c r="O168" s="76"/>
      <c r="P168" s="77"/>
      <c r="Q168" s="77"/>
      <c r="R168" s="91"/>
      <c r="S168" s="48">
        <v>1</v>
      </c>
      <c r="T168" s="48">
        <v>0</v>
      </c>
      <c r="U168" s="49">
        <v>0</v>
      </c>
      <c r="V168" s="49">
        <v>0.000761</v>
      </c>
      <c r="W168" s="49">
        <v>0.000578</v>
      </c>
      <c r="X168" s="49">
        <v>0.47414</v>
      </c>
      <c r="Y168" s="49">
        <v>0</v>
      </c>
      <c r="Z168" s="49">
        <v>0</v>
      </c>
      <c r="AA168" s="72">
        <v>168</v>
      </c>
      <c r="AB168" s="72"/>
      <c r="AC168" s="73"/>
      <c r="AD168" s="88" t="s">
        <v>670</v>
      </c>
      <c r="AE168" s="88" t="s">
        <v>946</v>
      </c>
      <c r="AF168" s="88" t="s">
        <v>1208</v>
      </c>
      <c r="AG168" s="88" t="s">
        <v>1360</v>
      </c>
      <c r="AH168" s="88" t="s">
        <v>1589</v>
      </c>
      <c r="AI168" s="88">
        <v>1612687</v>
      </c>
      <c r="AJ168" s="88">
        <v>30480</v>
      </c>
      <c r="AK168" s="88">
        <v>16752</v>
      </c>
      <c r="AL168" s="88">
        <v>5149</v>
      </c>
      <c r="AM168" s="88" t="s">
        <v>1705</v>
      </c>
      <c r="AN168" s="100" t="str">
        <f>HYPERLINK("https://www.youtube.com/watch?v=Ja8IoXFaJik")</f>
        <v>https://www.youtube.com/watch?v=Ja8IoXFaJik</v>
      </c>
      <c r="AO168" s="88" t="str">
        <f>REPLACE(INDEX(GroupVertices[Group],MATCH(Vertices[[#This Row],[Vertex]],GroupVertices[Vertex],0)),1,1,"")</f>
        <v>10</v>
      </c>
      <c r="AP168" s="48">
        <v>0</v>
      </c>
      <c r="AQ168" s="49">
        <v>0</v>
      </c>
      <c r="AR168" s="48">
        <v>0</v>
      </c>
      <c r="AS168" s="49">
        <v>0</v>
      </c>
      <c r="AT168" s="48">
        <v>0</v>
      </c>
      <c r="AU168" s="49">
        <v>0</v>
      </c>
      <c r="AV168" s="48">
        <v>13</v>
      </c>
      <c r="AW168" s="49">
        <v>100</v>
      </c>
      <c r="AX168" s="48">
        <v>13</v>
      </c>
      <c r="AY168" s="48"/>
      <c r="AZ168" s="48"/>
      <c r="BA168" s="48"/>
      <c r="BB168" s="48"/>
      <c r="BC168" s="2"/>
      <c r="BD168" s="3"/>
      <c r="BE168" s="3"/>
      <c r="BF168" s="3"/>
      <c r="BG168" s="3"/>
    </row>
    <row r="169" spans="1:59" ht="15">
      <c r="A169" s="65" t="s">
        <v>383</v>
      </c>
      <c r="B169" s="66"/>
      <c r="C169" s="66"/>
      <c r="D169" s="67">
        <v>404.3939889464021</v>
      </c>
      <c r="E169" s="69"/>
      <c r="F169" s="98" t="str">
        <f>HYPERLINK("https://i.ytimg.com/vi/HEGC2MjaWAM/default.jpg")</f>
        <v>https://i.ytimg.com/vi/HEGC2MjaWAM/default.jpg</v>
      </c>
      <c r="G169" s="66"/>
      <c r="H169" s="70" t="s">
        <v>671</v>
      </c>
      <c r="I169" s="71"/>
      <c r="J169" s="71" t="s">
        <v>159</v>
      </c>
      <c r="K169" s="70" t="s">
        <v>671</v>
      </c>
      <c r="L169" s="74">
        <v>909.9090909090909</v>
      </c>
      <c r="M169" s="75">
        <v>8627.9384765625</v>
      </c>
      <c r="N169" s="75">
        <v>2911.157958984375</v>
      </c>
      <c r="O169" s="76"/>
      <c r="P169" s="77"/>
      <c r="Q169" s="77"/>
      <c r="R169" s="91"/>
      <c r="S169" s="48">
        <v>1</v>
      </c>
      <c r="T169" s="48">
        <v>0</v>
      </c>
      <c r="U169" s="49">
        <v>0</v>
      </c>
      <c r="V169" s="49">
        <v>0.000761</v>
      </c>
      <c r="W169" s="49">
        <v>0.000578</v>
      </c>
      <c r="X169" s="49">
        <v>0.47414</v>
      </c>
      <c r="Y169" s="49">
        <v>0</v>
      </c>
      <c r="Z169" s="49">
        <v>0</v>
      </c>
      <c r="AA169" s="72">
        <v>169</v>
      </c>
      <c r="AB169" s="72"/>
      <c r="AC169" s="73"/>
      <c r="AD169" s="88" t="s">
        <v>671</v>
      </c>
      <c r="AE169" s="88" t="s">
        <v>947</v>
      </c>
      <c r="AF169" s="88" t="s">
        <v>1209</v>
      </c>
      <c r="AG169" s="88" t="s">
        <v>1380</v>
      </c>
      <c r="AH169" s="88" t="s">
        <v>1590</v>
      </c>
      <c r="AI169" s="88">
        <v>2993005</v>
      </c>
      <c r="AJ169" s="88">
        <v>7363</v>
      </c>
      <c r="AK169" s="88">
        <v>44863</v>
      </c>
      <c r="AL169" s="88">
        <v>2151</v>
      </c>
      <c r="AM169" s="88" t="s">
        <v>1705</v>
      </c>
      <c r="AN169" s="100" t="str">
        <f>HYPERLINK("https://www.youtube.com/watch?v=HEGC2MjaWAM")</f>
        <v>https://www.youtube.com/watch?v=HEGC2MjaWAM</v>
      </c>
      <c r="AO169" s="88" t="str">
        <f>REPLACE(INDEX(GroupVertices[Group],MATCH(Vertices[[#This Row],[Vertex]],GroupVertices[Vertex],0)),1,1,"")</f>
        <v>10</v>
      </c>
      <c r="AP169" s="48">
        <v>2</v>
      </c>
      <c r="AQ169" s="49">
        <v>6.666666666666667</v>
      </c>
      <c r="AR169" s="48">
        <v>4</v>
      </c>
      <c r="AS169" s="49">
        <v>13.333333333333334</v>
      </c>
      <c r="AT169" s="48">
        <v>0</v>
      </c>
      <c r="AU169" s="49">
        <v>0</v>
      </c>
      <c r="AV169" s="48">
        <v>24</v>
      </c>
      <c r="AW169" s="49">
        <v>80</v>
      </c>
      <c r="AX169" s="48">
        <v>30</v>
      </c>
      <c r="AY169" s="48"/>
      <c r="AZ169" s="48"/>
      <c r="BA169" s="48"/>
      <c r="BB169" s="48"/>
      <c r="BC169" s="2"/>
      <c r="BD169" s="3"/>
      <c r="BE169" s="3"/>
      <c r="BF169" s="3"/>
      <c r="BG169" s="3"/>
    </row>
    <row r="170" spans="1:59" ht="15">
      <c r="A170" s="65" t="s">
        <v>384</v>
      </c>
      <c r="B170" s="66"/>
      <c r="C170" s="66"/>
      <c r="D170" s="67">
        <v>386.6485298941011</v>
      </c>
      <c r="E170" s="69"/>
      <c r="F170" s="98" t="str">
        <f>HYPERLINK("https://i.ytimg.com/vi/bW1XstE6tio/default.jpg")</f>
        <v>https://i.ytimg.com/vi/bW1XstE6tio/default.jpg</v>
      </c>
      <c r="G170" s="66"/>
      <c r="H170" s="70" t="s">
        <v>672</v>
      </c>
      <c r="I170" s="71"/>
      <c r="J170" s="71" t="s">
        <v>159</v>
      </c>
      <c r="K170" s="70" t="s">
        <v>672</v>
      </c>
      <c r="L170" s="74">
        <v>909.9090909090909</v>
      </c>
      <c r="M170" s="75">
        <v>8264.3349609375</v>
      </c>
      <c r="N170" s="75">
        <v>2509.348876953125</v>
      </c>
      <c r="O170" s="76"/>
      <c r="P170" s="77"/>
      <c r="Q170" s="77"/>
      <c r="R170" s="91"/>
      <c r="S170" s="48">
        <v>1</v>
      </c>
      <c r="T170" s="48">
        <v>0</v>
      </c>
      <c r="U170" s="49">
        <v>0</v>
      </c>
      <c r="V170" s="49">
        <v>0.000761</v>
      </c>
      <c r="W170" s="49">
        <v>0.000578</v>
      </c>
      <c r="X170" s="49">
        <v>0.47414</v>
      </c>
      <c r="Y170" s="49">
        <v>0</v>
      </c>
      <c r="Z170" s="49">
        <v>0</v>
      </c>
      <c r="AA170" s="72">
        <v>170</v>
      </c>
      <c r="AB170" s="72"/>
      <c r="AC170" s="73"/>
      <c r="AD170" s="88" t="s">
        <v>672</v>
      </c>
      <c r="AE170" s="88" t="s">
        <v>948</v>
      </c>
      <c r="AF170" s="88"/>
      <c r="AG170" s="88" t="s">
        <v>1381</v>
      </c>
      <c r="AH170" s="88" t="s">
        <v>1591</v>
      </c>
      <c r="AI170" s="88">
        <v>2829282</v>
      </c>
      <c r="AJ170" s="88">
        <v>1338</v>
      </c>
      <c r="AK170" s="88">
        <v>33452</v>
      </c>
      <c r="AL170" s="88">
        <v>1971</v>
      </c>
      <c r="AM170" s="88" t="s">
        <v>1705</v>
      </c>
      <c r="AN170" s="100" t="str">
        <f>HYPERLINK("https://www.youtube.com/watch?v=bW1XstE6tio")</f>
        <v>https://www.youtube.com/watch?v=bW1XstE6tio</v>
      </c>
      <c r="AO170" s="88" t="str">
        <f>REPLACE(INDEX(GroupVertices[Group],MATCH(Vertices[[#This Row],[Vertex]],GroupVertices[Vertex],0)),1,1,"")</f>
        <v>10</v>
      </c>
      <c r="AP170" s="48"/>
      <c r="AQ170" s="49"/>
      <c r="AR170" s="48"/>
      <c r="AS170" s="49"/>
      <c r="AT170" s="48"/>
      <c r="AU170" s="49"/>
      <c r="AV170" s="48"/>
      <c r="AW170" s="49"/>
      <c r="AX170" s="48"/>
      <c r="AY170" s="48"/>
      <c r="AZ170" s="48"/>
      <c r="BA170" s="48"/>
      <c r="BB170" s="48"/>
      <c r="BC170" s="2"/>
      <c r="BD170" s="3"/>
      <c r="BE170" s="3"/>
      <c r="BF170" s="3"/>
      <c r="BG170" s="3"/>
    </row>
    <row r="171" spans="1:59" ht="15">
      <c r="A171" s="65" t="s">
        <v>385</v>
      </c>
      <c r="B171" s="66"/>
      <c r="C171" s="66"/>
      <c r="D171" s="67">
        <v>113.35764345737843</v>
      </c>
      <c r="E171" s="69"/>
      <c r="F171" s="98" t="str">
        <f>HYPERLINK("https://i.ytimg.com/vi/m8wcAXVhwpY/default.jpg")</f>
        <v>https://i.ytimg.com/vi/m8wcAXVhwpY/default.jpg</v>
      </c>
      <c r="G171" s="66"/>
      <c r="H171" s="70" t="s">
        <v>673</v>
      </c>
      <c r="I171" s="71"/>
      <c r="J171" s="71" t="s">
        <v>159</v>
      </c>
      <c r="K171" s="70" t="s">
        <v>673</v>
      </c>
      <c r="L171" s="74">
        <v>909.9090909090909</v>
      </c>
      <c r="M171" s="75">
        <v>9892.853515625</v>
      </c>
      <c r="N171" s="75">
        <v>1701.232421875</v>
      </c>
      <c r="O171" s="76"/>
      <c r="P171" s="77"/>
      <c r="Q171" s="77"/>
      <c r="R171" s="91"/>
      <c r="S171" s="48">
        <v>1</v>
      </c>
      <c r="T171" s="48">
        <v>0</v>
      </c>
      <c r="U171" s="49">
        <v>0</v>
      </c>
      <c r="V171" s="49">
        <v>0.000761</v>
      </c>
      <c r="W171" s="49">
        <v>0.000578</v>
      </c>
      <c r="X171" s="49">
        <v>0.47414</v>
      </c>
      <c r="Y171" s="49">
        <v>0</v>
      </c>
      <c r="Z171" s="49">
        <v>0</v>
      </c>
      <c r="AA171" s="72">
        <v>171</v>
      </c>
      <c r="AB171" s="72"/>
      <c r="AC171" s="73"/>
      <c r="AD171" s="88" t="s">
        <v>673</v>
      </c>
      <c r="AE171" s="88" t="s">
        <v>949</v>
      </c>
      <c r="AF171" s="88" t="s">
        <v>1210</v>
      </c>
      <c r="AG171" s="88" t="s">
        <v>1358</v>
      </c>
      <c r="AH171" s="88" t="s">
        <v>1592</v>
      </c>
      <c r="AI171" s="88">
        <v>307848</v>
      </c>
      <c r="AJ171" s="88">
        <v>813</v>
      </c>
      <c r="AK171" s="88">
        <v>3499</v>
      </c>
      <c r="AL171" s="88">
        <v>195</v>
      </c>
      <c r="AM171" s="88" t="s">
        <v>1705</v>
      </c>
      <c r="AN171" s="100" t="str">
        <f>HYPERLINK("https://www.youtube.com/watch?v=m8wcAXVhwpY")</f>
        <v>https://www.youtube.com/watch?v=m8wcAXVhwpY</v>
      </c>
      <c r="AO171" s="88" t="str">
        <f>REPLACE(INDEX(GroupVertices[Group],MATCH(Vertices[[#This Row],[Vertex]],GroupVertices[Vertex],0)),1,1,"")</f>
        <v>10</v>
      </c>
      <c r="AP171" s="48">
        <v>0</v>
      </c>
      <c r="AQ171" s="49">
        <v>0</v>
      </c>
      <c r="AR171" s="48">
        <v>1</v>
      </c>
      <c r="AS171" s="49">
        <v>3.0303030303030303</v>
      </c>
      <c r="AT171" s="48">
        <v>0</v>
      </c>
      <c r="AU171" s="49">
        <v>0</v>
      </c>
      <c r="AV171" s="48">
        <v>32</v>
      </c>
      <c r="AW171" s="49">
        <v>96.96969696969697</v>
      </c>
      <c r="AX171" s="48">
        <v>33</v>
      </c>
      <c r="AY171" s="48"/>
      <c r="AZ171" s="48"/>
      <c r="BA171" s="48"/>
      <c r="BB171" s="48"/>
      <c r="BC171" s="2"/>
      <c r="BD171" s="3"/>
      <c r="BE171" s="3"/>
      <c r="BF171" s="3"/>
      <c r="BG171" s="3"/>
    </row>
    <row r="172" spans="1:59" ht="15">
      <c r="A172" s="65" t="s">
        <v>386</v>
      </c>
      <c r="B172" s="66"/>
      <c r="C172" s="66"/>
      <c r="D172" s="67">
        <v>170.00745514659587</v>
      </c>
      <c r="E172" s="69"/>
      <c r="F172" s="98" t="str">
        <f>HYPERLINK("https://i.ytimg.com/vi/WfNCSxZ-8uU/default.jpg")</f>
        <v>https://i.ytimg.com/vi/WfNCSxZ-8uU/default.jpg</v>
      </c>
      <c r="G172" s="66"/>
      <c r="H172" s="70" t="s">
        <v>674</v>
      </c>
      <c r="I172" s="71"/>
      <c r="J172" s="71" t="s">
        <v>159</v>
      </c>
      <c r="K172" s="70" t="s">
        <v>674</v>
      </c>
      <c r="L172" s="74">
        <v>909.9090909090909</v>
      </c>
      <c r="M172" s="75">
        <v>9855.39453125</v>
      </c>
      <c r="N172" s="75">
        <v>961.8187255859375</v>
      </c>
      <c r="O172" s="76"/>
      <c r="P172" s="77"/>
      <c r="Q172" s="77"/>
      <c r="R172" s="91"/>
      <c r="S172" s="48">
        <v>1</v>
      </c>
      <c r="T172" s="48">
        <v>0</v>
      </c>
      <c r="U172" s="49">
        <v>0</v>
      </c>
      <c r="V172" s="49">
        <v>0.000761</v>
      </c>
      <c r="W172" s="49">
        <v>0.000578</v>
      </c>
      <c r="X172" s="49">
        <v>0.47414</v>
      </c>
      <c r="Y172" s="49">
        <v>0</v>
      </c>
      <c r="Z172" s="49">
        <v>0</v>
      </c>
      <c r="AA172" s="72">
        <v>172</v>
      </c>
      <c r="AB172" s="72"/>
      <c r="AC172" s="73"/>
      <c r="AD172" s="88" t="s">
        <v>674</v>
      </c>
      <c r="AE172" s="88" t="s">
        <v>950</v>
      </c>
      <c r="AF172" s="88" t="s">
        <v>1211</v>
      </c>
      <c r="AG172" s="88" t="s">
        <v>1355</v>
      </c>
      <c r="AH172" s="88" t="s">
        <v>1593</v>
      </c>
      <c r="AI172" s="88">
        <v>830510</v>
      </c>
      <c r="AJ172" s="88">
        <v>3538</v>
      </c>
      <c r="AK172" s="88">
        <v>13521</v>
      </c>
      <c r="AL172" s="88">
        <v>529</v>
      </c>
      <c r="AM172" s="88" t="s">
        <v>1705</v>
      </c>
      <c r="AN172" s="100" t="str">
        <f>HYPERLINK("https://www.youtube.com/watch?v=WfNCSxZ-8uU")</f>
        <v>https://www.youtube.com/watch?v=WfNCSxZ-8uU</v>
      </c>
      <c r="AO172" s="88" t="str">
        <f>REPLACE(INDEX(GroupVertices[Group],MATCH(Vertices[[#This Row],[Vertex]],GroupVertices[Vertex],0)),1,1,"")</f>
        <v>10</v>
      </c>
      <c r="AP172" s="48">
        <v>5</v>
      </c>
      <c r="AQ172" s="49">
        <v>7.462686567164179</v>
      </c>
      <c r="AR172" s="48">
        <v>2</v>
      </c>
      <c r="AS172" s="49">
        <v>2.985074626865672</v>
      </c>
      <c r="AT172" s="48">
        <v>0</v>
      </c>
      <c r="AU172" s="49">
        <v>0</v>
      </c>
      <c r="AV172" s="48">
        <v>60</v>
      </c>
      <c r="AW172" s="49">
        <v>89.55223880597015</v>
      </c>
      <c r="AX172" s="48">
        <v>67</v>
      </c>
      <c r="AY172" s="48"/>
      <c r="AZ172" s="48"/>
      <c r="BA172" s="48"/>
      <c r="BB172" s="48"/>
      <c r="BC172" s="2"/>
      <c r="BD172" s="3"/>
      <c r="BE172" s="3"/>
      <c r="BF172" s="3"/>
      <c r="BG172" s="3"/>
    </row>
    <row r="173" spans="1:59" ht="15">
      <c r="A173" s="65" t="s">
        <v>387</v>
      </c>
      <c r="B173" s="66"/>
      <c r="C173" s="66"/>
      <c r="D173" s="67">
        <v>167.4307689262704</v>
      </c>
      <c r="E173" s="69"/>
      <c r="F173" s="98" t="str">
        <f>HYPERLINK("https://i.ytimg.com/vi/o5bwStVXQbI/default.jpg")</f>
        <v>https://i.ytimg.com/vi/o5bwStVXQbI/default.jpg</v>
      </c>
      <c r="G173" s="66"/>
      <c r="H173" s="70" t="s">
        <v>675</v>
      </c>
      <c r="I173" s="71"/>
      <c r="J173" s="71" t="s">
        <v>159</v>
      </c>
      <c r="K173" s="70" t="s">
        <v>675</v>
      </c>
      <c r="L173" s="74">
        <v>909.9090909090909</v>
      </c>
      <c r="M173" s="75">
        <v>9020.71484375</v>
      </c>
      <c r="N173" s="75">
        <v>3121.0751953125</v>
      </c>
      <c r="O173" s="76"/>
      <c r="P173" s="77"/>
      <c r="Q173" s="77"/>
      <c r="R173" s="91"/>
      <c r="S173" s="48">
        <v>1</v>
      </c>
      <c r="T173" s="48">
        <v>0</v>
      </c>
      <c r="U173" s="49">
        <v>0</v>
      </c>
      <c r="V173" s="49">
        <v>0.000761</v>
      </c>
      <c r="W173" s="49">
        <v>0.000578</v>
      </c>
      <c r="X173" s="49">
        <v>0.47414</v>
      </c>
      <c r="Y173" s="49">
        <v>0</v>
      </c>
      <c r="Z173" s="49">
        <v>0</v>
      </c>
      <c r="AA173" s="72">
        <v>173</v>
      </c>
      <c r="AB173" s="72"/>
      <c r="AC173" s="73"/>
      <c r="AD173" s="88" t="s">
        <v>675</v>
      </c>
      <c r="AE173" s="88" t="s">
        <v>951</v>
      </c>
      <c r="AF173" s="88" t="s">
        <v>1212</v>
      </c>
      <c r="AG173" s="88" t="s">
        <v>1360</v>
      </c>
      <c r="AH173" s="88" t="s">
        <v>1594</v>
      </c>
      <c r="AI173" s="88">
        <v>806737</v>
      </c>
      <c r="AJ173" s="88">
        <v>8842</v>
      </c>
      <c r="AK173" s="88">
        <v>11609</v>
      </c>
      <c r="AL173" s="88">
        <v>1806</v>
      </c>
      <c r="AM173" s="88" t="s">
        <v>1705</v>
      </c>
      <c r="AN173" s="100" t="str">
        <f>HYPERLINK("https://www.youtube.com/watch?v=o5bwStVXQbI")</f>
        <v>https://www.youtube.com/watch?v=o5bwStVXQbI</v>
      </c>
      <c r="AO173" s="88" t="str">
        <f>REPLACE(INDEX(GroupVertices[Group],MATCH(Vertices[[#This Row],[Vertex]],GroupVertices[Vertex],0)),1,1,"")</f>
        <v>10</v>
      </c>
      <c r="AP173" s="48">
        <v>0</v>
      </c>
      <c r="AQ173" s="49">
        <v>0</v>
      </c>
      <c r="AR173" s="48">
        <v>0</v>
      </c>
      <c r="AS173" s="49">
        <v>0</v>
      </c>
      <c r="AT173" s="48">
        <v>0</v>
      </c>
      <c r="AU173" s="49">
        <v>0</v>
      </c>
      <c r="AV173" s="48">
        <v>13</v>
      </c>
      <c r="AW173" s="49">
        <v>100</v>
      </c>
      <c r="AX173" s="48">
        <v>13</v>
      </c>
      <c r="AY173" s="48"/>
      <c r="AZ173" s="48"/>
      <c r="BA173" s="48"/>
      <c r="BB173" s="48"/>
      <c r="BC173" s="2"/>
      <c r="BD173" s="3"/>
      <c r="BE173" s="3"/>
      <c r="BF173" s="3"/>
      <c r="BG173" s="3"/>
    </row>
    <row r="174" spans="1:59" ht="15">
      <c r="A174" s="65" t="s">
        <v>388</v>
      </c>
      <c r="B174" s="66"/>
      <c r="C174" s="66"/>
      <c r="D174" s="67">
        <v>200.8078136722299</v>
      </c>
      <c r="E174" s="69"/>
      <c r="F174" s="98" t="str">
        <f>HYPERLINK("https://i.ytimg.com/vi/uV5g4kE6NvM/default.jpg")</f>
        <v>https://i.ytimg.com/vi/uV5g4kE6NvM/default.jpg</v>
      </c>
      <c r="G174" s="66"/>
      <c r="H174" s="70" t="s">
        <v>676</v>
      </c>
      <c r="I174" s="71"/>
      <c r="J174" s="71" t="s">
        <v>159</v>
      </c>
      <c r="K174" s="70" t="s">
        <v>676</v>
      </c>
      <c r="L174" s="74">
        <v>909.9090909090909</v>
      </c>
      <c r="M174" s="75">
        <v>9227.05859375</v>
      </c>
      <c r="N174" s="75">
        <v>2388.8974609375</v>
      </c>
      <c r="O174" s="76"/>
      <c r="P174" s="77"/>
      <c r="Q174" s="77"/>
      <c r="R174" s="91"/>
      <c r="S174" s="48">
        <v>1</v>
      </c>
      <c r="T174" s="48">
        <v>0</v>
      </c>
      <c r="U174" s="49">
        <v>0</v>
      </c>
      <c r="V174" s="49">
        <v>0.000761</v>
      </c>
      <c r="W174" s="49">
        <v>0.000578</v>
      </c>
      <c r="X174" s="49">
        <v>0.47414</v>
      </c>
      <c r="Y174" s="49">
        <v>0</v>
      </c>
      <c r="Z174" s="49">
        <v>0</v>
      </c>
      <c r="AA174" s="72">
        <v>174</v>
      </c>
      <c r="AB174" s="72"/>
      <c r="AC174" s="73"/>
      <c r="AD174" s="88" t="s">
        <v>676</v>
      </c>
      <c r="AE174" s="88" t="s">
        <v>952</v>
      </c>
      <c r="AF174" s="88" t="s">
        <v>1213</v>
      </c>
      <c r="AG174" s="88" t="s">
        <v>1360</v>
      </c>
      <c r="AH174" s="88" t="s">
        <v>1595</v>
      </c>
      <c r="AI174" s="88">
        <v>1114680</v>
      </c>
      <c r="AJ174" s="88">
        <v>13011</v>
      </c>
      <c r="AK174" s="88">
        <v>20739</v>
      </c>
      <c r="AL174" s="88">
        <v>5914</v>
      </c>
      <c r="AM174" s="88" t="s">
        <v>1705</v>
      </c>
      <c r="AN174" s="100" t="str">
        <f>HYPERLINK("https://www.youtube.com/watch?v=uV5g4kE6NvM")</f>
        <v>https://www.youtube.com/watch?v=uV5g4kE6NvM</v>
      </c>
      <c r="AO174" s="88" t="str">
        <f>REPLACE(INDEX(GroupVertices[Group],MATCH(Vertices[[#This Row],[Vertex]],GroupVertices[Vertex],0)),1,1,"")</f>
        <v>10</v>
      </c>
      <c r="AP174" s="48">
        <v>0</v>
      </c>
      <c r="AQ174" s="49">
        <v>0</v>
      </c>
      <c r="AR174" s="48">
        <v>0</v>
      </c>
      <c r="AS174" s="49">
        <v>0</v>
      </c>
      <c r="AT174" s="48">
        <v>0</v>
      </c>
      <c r="AU174" s="49">
        <v>0</v>
      </c>
      <c r="AV174" s="48">
        <v>17</v>
      </c>
      <c r="AW174" s="49">
        <v>100</v>
      </c>
      <c r="AX174" s="48">
        <v>17</v>
      </c>
      <c r="AY174" s="48"/>
      <c r="AZ174" s="48"/>
      <c r="BA174" s="48"/>
      <c r="BB174" s="48"/>
      <c r="BC174" s="2"/>
      <c r="BD174" s="3"/>
      <c r="BE174" s="3"/>
      <c r="BF174" s="3"/>
      <c r="BG174" s="3"/>
    </row>
    <row r="175" spans="1:59" ht="15">
      <c r="A175" s="65" t="s">
        <v>389</v>
      </c>
      <c r="B175" s="66"/>
      <c r="C175" s="66"/>
      <c r="D175" s="67">
        <v>213.2672344893366</v>
      </c>
      <c r="E175" s="69"/>
      <c r="F175" s="98" t="str">
        <f>HYPERLINK("https://i.ytimg.com/vi/lOBhHs_1n_I/default.jpg")</f>
        <v>https://i.ytimg.com/vi/lOBhHs_1n_I/default.jpg</v>
      </c>
      <c r="G175" s="66"/>
      <c r="H175" s="70" t="s">
        <v>677</v>
      </c>
      <c r="I175" s="71"/>
      <c r="J175" s="71" t="s">
        <v>159</v>
      </c>
      <c r="K175" s="70" t="s">
        <v>677</v>
      </c>
      <c r="L175" s="74">
        <v>909.9090909090909</v>
      </c>
      <c r="M175" s="75">
        <v>8541.203125</v>
      </c>
      <c r="N175" s="75">
        <v>301.1819152832031</v>
      </c>
      <c r="O175" s="76"/>
      <c r="P175" s="77"/>
      <c r="Q175" s="77"/>
      <c r="R175" s="91"/>
      <c r="S175" s="48">
        <v>1</v>
      </c>
      <c r="T175" s="48">
        <v>0</v>
      </c>
      <c r="U175" s="49">
        <v>0</v>
      </c>
      <c r="V175" s="49">
        <v>0.000761</v>
      </c>
      <c r="W175" s="49">
        <v>0.000578</v>
      </c>
      <c r="X175" s="49">
        <v>0.47414</v>
      </c>
      <c r="Y175" s="49">
        <v>0</v>
      </c>
      <c r="Z175" s="49">
        <v>0</v>
      </c>
      <c r="AA175" s="72">
        <v>175</v>
      </c>
      <c r="AB175" s="72"/>
      <c r="AC175" s="73"/>
      <c r="AD175" s="88" t="s">
        <v>677</v>
      </c>
      <c r="AE175" s="88" t="s">
        <v>953</v>
      </c>
      <c r="AF175" s="88" t="s">
        <v>1214</v>
      </c>
      <c r="AG175" s="88" t="s">
        <v>1360</v>
      </c>
      <c r="AH175" s="88" t="s">
        <v>1596</v>
      </c>
      <c r="AI175" s="88">
        <v>1229633</v>
      </c>
      <c r="AJ175" s="88">
        <v>11345</v>
      </c>
      <c r="AK175" s="88">
        <v>23858</v>
      </c>
      <c r="AL175" s="88">
        <v>1475</v>
      </c>
      <c r="AM175" s="88" t="s">
        <v>1705</v>
      </c>
      <c r="AN175" s="100" t="str">
        <f>HYPERLINK("https://www.youtube.com/watch?v=lOBhHs_1n_I")</f>
        <v>https://www.youtube.com/watch?v=lOBhHs_1n_I</v>
      </c>
      <c r="AO175" s="88" t="str">
        <f>REPLACE(INDEX(GroupVertices[Group],MATCH(Vertices[[#This Row],[Vertex]],GroupVertices[Vertex],0)),1,1,"")</f>
        <v>10</v>
      </c>
      <c r="AP175" s="48">
        <v>0</v>
      </c>
      <c r="AQ175" s="49">
        <v>0</v>
      </c>
      <c r="AR175" s="48">
        <v>0</v>
      </c>
      <c r="AS175" s="49">
        <v>0</v>
      </c>
      <c r="AT175" s="48">
        <v>0</v>
      </c>
      <c r="AU175" s="49">
        <v>0</v>
      </c>
      <c r="AV175" s="48">
        <v>16</v>
      </c>
      <c r="AW175" s="49">
        <v>100</v>
      </c>
      <c r="AX175" s="48">
        <v>16</v>
      </c>
      <c r="AY175" s="48"/>
      <c r="AZ175" s="48"/>
      <c r="BA175" s="48"/>
      <c r="BB175" s="48"/>
      <c r="BC175" s="2"/>
      <c r="BD175" s="3"/>
      <c r="BE175" s="3"/>
      <c r="BF175" s="3"/>
      <c r="BG175" s="3"/>
    </row>
    <row r="176" spans="1:59" ht="15">
      <c r="A176" s="65" t="s">
        <v>390</v>
      </c>
      <c r="B176" s="66"/>
      <c r="C176" s="66"/>
      <c r="D176" s="67">
        <v>159.89732444119386</v>
      </c>
      <c r="E176" s="69"/>
      <c r="F176" s="98" t="str">
        <f>HYPERLINK("https://i.ytimg.com/vi/arZtsOWni0s/default.jpg")</f>
        <v>https://i.ytimg.com/vi/arZtsOWni0s/default.jpg</v>
      </c>
      <c r="G176" s="66"/>
      <c r="H176" s="70" t="s">
        <v>678</v>
      </c>
      <c r="I176" s="71"/>
      <c r="J176" s="71" t="s">
        <v>159</v>
      </c>
      <c r="K176" s="70" t="s">
        <v>678</v>
      </c>
      <c r="L176" s="74">
        <v>909.9090909090909</v>
      </c>
      <c r="M176" s="75">
        <v>8232.603515625</v>
      </c>
      <c r="N176" s="75">
        <v>936.1477661132812</v>
      </c>
      <c r="O176" s="76"/>
      <c r="P176" s="77"/>
      <c r="Q176" s="77"/>
      <c r="R176" s="91"/>
      <c r="S176" s="48">
        <v>1</v>
      </c>
      <c r="T176" s="48">
        <v>0</v>
      </c>
      <c r="U176" s="49">
        <v>0</v>
      </c>
      <c r="V176" s="49">
        <v>0.000761</v>
      </c>
      <c r="W176" s="49">
        <v>0.000578</v>
      </c>
      <c r="X176" s="49">
        <v>0.47414</v>
      </c>
      <c r="Y176" s="49">
        <v>0</v>
      </c>
      <c r="Z176" s="49">
        <v>0</v>
      </c>
      <c r="AA176" s="72">
        <v>176</v>
      </c>
      <c r="AB176" s="72"/>
      <c r="AC176" s="73"/>
      <c r="AD176" s="88" t="s">
        <v>678</v>
      </c>
      <c r="AE176" s="88" t="s">
        <v>954</v>
      </c>
      <c r="AF176" s="88" t="s">
        <v>1215</v>
      </c>
      <c r="AG176" s="88" t="s">
        <v>1360</v>
      </c>
      <c r="AH176" s="88" t="s">
        <v>1597</v>
      </c>
      <c r="AI176" s="88">
        <v>737232</v>
      </c>
      <c r="AJ176" s="88">
        <v>7697</v>
      </c>
      <c r="AK176" s="88">
        <v>11761</v>
      </c>
      <c r="AL176" s="88">
        <v>2791</v>
      </c>
      <c r="AM176" s="88" t="s">
        <v>1705</v>
      </c>
      <c r="AN176" s="100" t="str">
        <f>HYPERLINK("https://www.youtube.com/watch?v=arZtsOWni0s")</f>
        <v>https://www.youtube.com/watch?v=arZtsOWni0s</v>
      </c>
      <c r="AO176" s="88" t="str">
        <f>REPLACE(INDEX(GroupVertices[Group],MATCH(Vertices[[#This Row],[Vertex]],GroupVertices[Vertex],0)),1,1,"")</f>
        <v>10</v>
      </c>
      <c r="AP176" s="48">
        <v>0</v>
      </c>
      <c r="AQ176" s="49">
        <v>0</v>
      </c>
      <c r="AR176" s="48">
        <v>0</v>
      </c>
      <c r="AS176" s="49">
        <v>0</v>
      </c>
      <c r="AT176" s="48">
        <v>0</v>
      </c>
      <c r="AU176" s="49">
        <v>0</v>
      </c>
      <c r="AV176" s="48">
        <v>19</v>
      </c>
      <c r="AW176" s="49">
        <v>100</v>
      </c>
      <c r="AX176" s="48">
        <v>19</v>
      </c>
      <c r="AY176" s="48"/>
      <c r="AZ176" s="48"/>
      <c r="BA176" s="48"/>
      <c r="BB176" s="48"/>
      <c r="BC176" s="2"/>
      <c r="BD176" s="3"/>
      <c r="BE176" s="3"/>
      <c r="BF176" s="3"/>
      <c r="BG176" s="3"/>
    </row>
    <row r="177" spans="1:59" ht="15">
      <c r="A177" s="65" t="s">
        <v>391</v>
      </c>
      <c r="B177" s="66"/>
      <c r="C177" s="66"/>
      <c r="D177" s="67">
        <v>122.32450716862769</v>
      </c>
      <c r="E177" s="69"/>
      <c r="F177" s="98" t="str">
        <f>HYPERLINK("https://i.ytimg.com/vi/Kr4fTAtQUh8/default.jpg")</f>
        <v>https://i.ytimg.com/vi/Kr4fTAtQUh8/default.jpg</v>
      </c>
      <c r="G177" s="66"/>
      <c r="H177" s="70" t="s">
        <v>679</v>
      </c>
      <c r="I177" s="71"/>
      <c r="J177" s="71" t="s">
        <v>159</v>
      </c>
      <c r="K177" s="70" t="s">
        <v>679</v>
      </c>
      <c r="L177" s="74">
        <v>909.9090909090909</v>
      </c>
      <c r="M177" s="75">
        <v>9452.4912109375</v>
      </c>
      <c r="N177" s="75">
        <v>1088.7864990234375</v>
      </c>
      <c r="O177" s="76"/>
      <c r="P177" s="77"/>
      <c r="Q177" s="77"/>
      <c r="R177" s="91"/>
      <c r="S177" s="48">
        <v>1</v>
      </c>
      <c r="T177" s="48">
        <v>0</v>
      </c>
      <c r="U177" s="49">
        <v>0</v>
      </c>
      <c r="V177" s="49">
        <v>0.000761</v>
      </c>
      <c r="W177" s="49">
        <v>0.000578</v>
      </c>
      <c r="X177" s="49">
        <v>0.47414</v>
      </c>
      <c r="Y177" s="49">
        <v>0</v>
      </c>
      <c r="Z177" s="49">
        <v>0</v>
      </c>
      <c r="AA177" s="72">
        <v>177</v>
      </c>
      <c r="AB177" s="72"/>
      <c r="AC177" s="73"/>
      <c r="AD177" s="88" t="s">
        <v>679</v>
      </c>
      <c r="AE177" s="88" t="s">
        <v>955</v>
      </c>
      <c r="AF177" s="88" t="s">
        <v>1216</v>
      </c>
      <c r="AG177" s="88" t="s">
        <v>1382</v>
      </c>
      <c r="AH177" s="88" t="s">
        <v>1598</v>
      </c>
      <c r="AI177" s="88">
        <v>390578</v>
      </c>
      <c r="AJ177" s="88">
        <v>1620</v>
      </c>
      <c r="AK177" s="88">
        <v>11542</v>
      </c>
      <c r="AL177" s="88">
        <v>526</v>
      </c>
      <c r="AM177" s="88" t="s">
        <v>1705</v>
      </c>
      <c r="AN177" s="100" t="str">
        <f>HYPERLINK("https://www.youtube.com/watch?v=Kr4fTAtQUh8")</f>
        <v>https://www.youtube.com/watch?v=Kr4fTAtQUh8</v>
      </c>
      <c r="AO177" s="88" t="str">
        <f>REPLACE(INDEX(GroupVertices[Group],MATCH(Vertices[[#This Row],[Vertex]],GroupVertices[Vertex],0)),1,1,"")</f>
        <v>10</v>
      </c>
      <c r="AP177" s="48">
        <v>0</v>
      </c>
      <c r="AQ177" s="49">
        <v>0</v>
      </c>
      <c r="AR177" s="48">
        <v>1</v>
      </c>
      <c r="AS177" s="49">
        <v>2.5</v>
      </c>
      <c r="AT177" s="48">
        <v>0</v>
      </c>
      <c r="AU177" s="49">
        <v>0</v>
      </c>
      <c r="AV177" s="48">
        <v>39</v>
      </c>
      <c r="AW177" s="49">
        <v>97.5</v>
      </c>
      <c r="AX177" s="48">
        <v>40</v>
      </c>
      <c r="AY177" s="48"/>
      <c r="AZ177" s="48"/>
      <c r="BA177" s="48"/>
      <c r="BB177" s="48"/>
      <c r="BC177" s="2"/>
      <c r="BD177" s="3"/>
      <c r="BE177" s="3"/>
      <c r="BF177" s="3"/>
      <c r="BG177" s="3"/>
    </row>
    <row r="178" spans="1:59" ht="15">
      <c r="A178" s="65" t="s">
        <v>392</v>
      </c>
      <c r="B178" s="66"/>
      <c r="C178" s="66"/>
      <c r="D178" s="67">
        <v>1000</v>
      </c>
      <c r="E178" s="69"/>
      <c r="F178" s="98" t="str">
        <f>HYPERLINK("https://i.ytimg.com/vi/au3Zzf33vXw/default.jpg")</f>
        <v>https://i.ytimg.com/vi/au3Zzf33vXw/default.jpg</v>
      </c>
      <c r="G178" s="66"/>
      <c r="H178" s="70" t="s">
        <v>680</v>
      </c>
      <c r="I178" s="71"/>
      <c r="J178" s="71" t="s">
        <v>159</v>
      </c>
      <c r="K178" s="70" t="s">
        <v>680</v>
      </c>
      <c r="L178" s="74">
        <v>909.9090909090909</v>
      </c>
      <c r="M178" s="75">
        <v>9791.90234375</v>
      </c>
      <c r="N178" s="75">
        <v>2328.48583984375</v>
      </c>
      <c r="O178" s="76"/>
      <c r="P178" s="77"/>
      <c r="Q178" s="77"/>
      <c r="R178" s="91"/>
      <c r="S178" s="48">
        <v>1</v>
      </c>
      <c r="T178" s="48">
        <v>0</v>
      </c>
      <c r="U178" s="49">
        <v>0</v>
      </c>
      <c r="V178" s="49">
        <v>0.000761</v>
      </c>
      <c r="W178" s="49">
        <v>0.000578</v>
      </c>
      <c r="X178" s="49">
        <v>0.47414</v>
      </c>
      <c r="Y178" s="49">
        <v>0</v>
      </c>
      <c r="Z178" s="49">
        <v>0</v>
      </c>
      <c r="AA178" s="72">
        <v>178</v>
      </c>
      <c r="AB178" s="72"/>
      <c r="AC178" s="73"/>
      <c r="AD178" s="88" t="s">
        <v>680</v>
      </c>
      <c r="AE178" s="88" t="s">
        <v>956</v>
      </c>
      <c r="AF178" s="88" t="s">
        <v>1217</v>
      </c>
      <c r="AG178" s="88" t="s">
        <v>1375</v>
      </c>
      <c r="AH178" s="88" t="s">
        <v>1599</v>
      </c>
      <c r="AI178" s="88">
        <v>10085017</v>
      </c>
      <c r="AJ178" s="88">
        <v>15495</v>
      </c>
      <c r="AK178" s="88">
        <v>79999</v>
      </c>
      <c r="AL178" s="88">
        <v>9257</v>
      </c>
      <c r="AM178" s="88" t="s">
        <v>1705</v>
      </c>
      <c r="AN178" s="100" t="str">
        <f>HYPERLINK("https://www.youtube.com/watch?v=au3Zzf33vXw")</f>
        <v>https://www.youtube.com/watch?v=au3Zzf33vXw</v>
      </c>
      <c r="AO178" s="88" t="str">
        <f>REPLACE(INDEX(GroupVertices[Group],MATCH(Vertices[[#This Row],[Vertex]],GroupVertices[Vertex],0)),1,1,"")</f>
        <v>10</v>
      </c>
      <c r="AP178" s="48">
        <v>0</v>
      </c>
      <c r="AQ178" s="49">
        <v>0</v>
      </c>
      <c r="AR178" s="48">
        <v>0</v>
      </c>
      <c r="AS178" s="49">
        <v>0</v>
      </c>
      <c r="AT178" s="48">
        <v>0</v>
      </c>
      <c r="AU178" s="49">
        <v>0</v>
      </c>
      <c r="AV178" s="48">
        <v>48</v>
      </c>
      <c r="AW178" s="49">
        <v>100</v>
      </c>
      <c r="AX178" s="48">
        <v>48</v>
      </c>
      <c r="AY178" s="48"/>
      <c r="AZ178" s="48"/>
      <c r="BA178" s="48"/>
      <c r="BB178" s="48"/>
      <c r="BC178" s="2"/>
      <c r="BD178" s="3"/>
      <c r="BE178" s="3"/>
      <c r="BF178" s="3"/>
      <c r="BG178" s="3"/>
    </row>
    <row r="179" spans="1:59" ht="15">
      <c r="A179" s="65" t="s">
        <v>393</v>
      </c>
      <c r="B179" s="66"/>
      <c r="C179" s="66"/>
      <c r="D179" s="67">
        <v>379.7482827715426</v>
      </c>
      <c r="E179" s="69"/>
      <c r="F179" s="98" t="str">
        <f>HYPERLINK("https://i.ytimg.com/vi/HSQvwkVLPDM/default.jpg")</f>
        <v>https://i.ytimg.com/vi/HSQvwkVLPDM/default.jpg</v>
      </c>
      <c r="G179" s="66"/>
      <c r="H179" s="70" t="s">
        <v>681</v>
      </c>
      <c r="I179" s="71"/>
      <c r="J179" s="71" t="s">
        <v>159</v>
      </c>
      <c r="K179" s="70" t="s">
        <v>681</v>
      </c>
      <c r="L179" s="74">
        <v>909.9090909090909</v>
      </c>
      <c r="M179" s="75">
        <v>8493.12109375</v>
      </c>
      <c r="N179" s="75">
        <v>1929.732421875</v>
      </c>
      <c r="O179" s="76"/>
      <c r="P179" s="77"/>
      <c r="Q179" s="77"/>
      <c r="R179" s="91"/>
      <c r="S179" s="48">
        <v>1</v>
      </c>
      <c r="T179" s="48">
        <v>0</v>
      </c>
      <c r="U179" s="49">
        <v>0</v>
      </c>
      <c r="V179" s="49">
        <v>0.000761</v>
      </c>
      <c r="W179" s="49">
        <v>0.000578</v>
      </c>
      <c r="X179" s="49">
        <v>0.47414</v>
      </c>
      <c r="Y179" s="49">
        <v>0</v>
      </c>
      <c r="Z179" s="49">
        <v>0</v>
      </c>
      <c r="AA179" s="72">
        <v>179</v>
      </c>
      <c r="AB179" s="72"/>
      <c r="AC179" s="73"/>
      <c r="AD179" s="88" t="s">
        <v>681</v>
      </c>
      <c r="AE179" s="88" t="s">
        <v>957</v>
      </c>
      <c r="AF179" s="88" t="s">
        <v>1218</v>
      </c>
      <c r="AG179" s="88" t="s">
        <v>1383</v>
      </c>
      <c r="AH179" s="88" t="s">
        <v>1600</v>
      </c>
      <c r="AI179" s="88">
        <v>2765619</v>
      </c>
      <c r="AJ179" s="88">
        <v>7470</v>
      </c>
      <c r="AK179" s="88">
        <v>40210</v>
      </c>
      <c r="AL179" s="88">
        <v>5246</v>
      </c>
      <c r="AM179" s="88" t="s">
        <v>1705</v>
      </c>
      <c r="AN179" s="100" t="str">
        <f>HYPERLINK("https://www.youtube.com/watch?v=HSQvwkVLPDM")</f>
        <v>https://www.youtube.com/watch?v=HSQvwkVLPDM</v>
      </c>
      <c r="AO179" s="88" t="str">
        <f>REPLACE(INDEX(GroupVertices[Group],MATCH(Vertices[[#This Row],[Vertex]],GroupVertices[Vertex],0)),1,1,"")</f>
        <v>10</v>
      </c>
      <c r="AP179" s="48">
        <v>0</v>
      </c>
      <c r="AQ179" s="49">
        <v>0</v>
      </c>
      <c r="AR179" s="48">
        <v>1</v>
      </c>
      <c r="AS179" s="49">
        <v>1.4705882352941178</v>
      </c>
      <c r="AT179" s="48">
        <v>0</v>
      </c>
      <c r="AU179" s="49">
        <v>0</v>
      </c>
      <c r="AV179" s="48">
        <v>67</v>
      </c>
      <c r="AW179" s="49">
        <v>98.52941176470588</v>
      </c>
      <c r="AX179" s="48">
        <v>68</v>
      </c>
      <c r="AY179" s="48"/>
      <c r="AZ179" s="48"/>
      <c r="BA179" s="48"/>
      <c r="BB179" s="48"/>
      <c r="BC179" s="2"/>
      <c r="BD179" s="3"/>
      <c r="BE179" s="3"/>
      <c r="BF179" s="3"/>
      <c r="BG179" s="3"/>
    </row>
    <row r="180" spans="1:59" ht="15">
      <c r="A180" s="65" t="s">
        <v>394</v>
      </c>
      <c r="B180" s="66"/>
      <c r="C180" s="66"/>
      <c r="D180" s="67">
        <v>1000</v>
      </c>
      <c r="E180" s="69"/>
      <c r="F180" s="98" t="str">
        <f>HYPERLINK("https://i.ytimg.com/vi/OFPwDe22CoY/default.jpg")</f>
        <v>https://i.ytimg.com/vi/OFPwDe22CoY/default.jpg</v>
      </c>
      <c r="G180" s="66"/>
      <c r="H180" s="70" t="s">
        <v>682</v>
      </c>
      <c r="I180" s="71"/>
      <c r="J180" s="71" t="s">
        <v>159</v>
      </c>
      <c r="K180" s="70" t="s">
        <v>682</v>
      </c>
      <c r="L180" s="74">
        <v>909.9090909090909</v>
      </c>
      <c r="M180" s="75">
        <v>8098.9775390625</v>
      </c>
      <c r="N180" s="75">
        <v>1634.2169189453125</v>
      </c>
      <c r="O180" s="76"/>
      <c r="P180" s="77"/>
      <c r="Q180" s="77"/>
      <c r="R180" s="91"/>
      <c r="S180" s="48">
        <v>1</v>
      </c>
      <c r="T180" s="48">
        <v>0</v>
      </c>
      <c r="U180" s="49">
        <v>0</v>
      </c>
      <c r="V180" s="49">
        <v>0.000761</v>
      </c>
      <c r="W180" s="49">
        <v>0.000578</v>
      </c>
      <c r="X180" s="49">
        <v>0.47414</v>
      </c>
      <c r="Y180" s="49">
        <v>0</v>
      </c>
      <c r="Z180" s="49">
        <v>0</v>
      </c>
      <c r="AA180" s="72">
        <v>180</v>
      </c>
      <c r="AB180" s="72"/>
      <c r="AC180" s="73"/>
      <c r="AD180" s="88" t="s">
        <v>682</v>
      </c>
      <c r="AE180" s="88" t="s">
        <v>958</v>
      </c>
      <c r="AF180" s="88" t="s">
        <v>1219</v>
      </c>
      <c r="AG180" s="88" t="s">
        <v>1384</v>
      </c>
      <c r="AH180" s="88" t="s">
        <v>1601</v>
      </c>
      <c r="AI180" s="88">
        <v>20888378</v>
      </c>
      <c r="AJ180" s="88">
        <v>21305</v>
      </c>
      <c r="AK180" s="88">
        <v>186146</v>
      </c>
      <c r="AL180" s="88">
        <v>10385</v>
      </c>
      <c r="AM180" s="88" t="s">
        <v>1705</v>
      </c>
      <c r="AN180" s="100" t="str">
        <f>HYPERLINK("https://www.youtube.com/watch?v=OFPwDe22CoY")</f>
        <v>https://www.youtube.com/watch?v=OFPwDe22CoY</v>
      </c>
      <c r="AO180" s="88" t="str">
        <f>REPLACE(INDEX(GroupVertices[Group],MATCH(Vertices[[#This Row],[Vertex]],GroupVertices[Vertex],0)),1,1,"")</f>
        <v>10</v>
      </c>
      <c r="AP180" s="48">
        <v>3</v>
      </c>
      <c r="AQ180" s="49">
        <v>4.918032786885246</v>
      </c>
      <c r="AR180" s="48">
        <v>0</v>
      </c>
      <c r="AS180" s="49">
        <v>0</v>
      </c>
      <c r="AT180" s="48">
        <v>0</v>
      </c>
      <c r="AU180" s="49">
        <v>0</v>
      </c>
      <c r="AV180" s="48">
        <v>58</v>
      </c>
      <c r="AW180" s="49">
        <v>95.08196721311475</v>
      </c>
      <c r="AX180" s="48">
        <v>61</v>
      </c>
      <c r="AY180" s="48"/>
      <c r="AZ180" s="48"/>
      <c r="BA180" s="48"/>
      <c r="BB180" s="48"/>
      <c r="BC180" s="2"/>
      <c r="BD180" s="3"/>
      <c r="BE180" s="3"/>
      <c r="BF180" s="3"/>
      <c r="BG180" s="3"/>
    </row>
    <row r="181" spans="1:59" ht="15">
      <c r="A181" s="65" t="s">
        <v>395</v>
      </c>
      <c r="B181" s="66"/>
      <c r="C181" s="66"/>
      <c r="D181" s="67">
        <v>147.44484039765808</v>
      </c>
      <c r="E181" s="69"/>
      <c r="F181" s="98" t="str">
        <f>HYPERLINK("https://i.ytimg.com/vi/BJGgHGl-NUg/default.jpg")</f>
        <v>https://i.ytimg.com/vi/BJGgHGl-NUg/default.jpg</v>
      </c>
      <c r="G181" s="66"/>
      <c r="H181" s="70" t="s">
        <v>683</v>
      </c>
      <c r="I181" s="71"/>
      <c r="J181" s="71" t="s">
        <v>159</v>
      </c>
      <c r="K181" s="70" t="s">
        <v>683</v>
      </c>
      <c r="L181" s="74">
        <v>909.9090909090909</v>
      </c>
      <c r="M181" s="75">
        <v>9477.55859375</v>
      </c>
      <c r="N181" s="75">
        <v>325.16668701171875</v>
      </c>
      <c r="O181" s="76"/>
      <c r="P181" s="77"/>
      <c r="Q181" s="77"/>
      <c r="R181" s="91"/>
      <c r="S181" s="48">
        <v>1</v>
      </c>
      <c r="T181" s="48">
        <v>0</v>
      </c>
      <c r="U181" s="49">
        <v>0</v>
      </c>
      <c r="V181" s="49">
        <v>0.000761</v>
      </c>
      <c r="W181" s="49">
        <v>0.000578</v>
      </c>
      <c r="X181" s="49">
        <v>0.47414</v>
      </c>
      <c r="Y181" s="49">
        <v>0</v>
      </c>
      <c r="Z181" s="49">
        <v>0</v>
      </c>
      <c r="AA181" s="72">
        <v>181</v>
      </c>
      <c r="AB181" s="72"/>
      <c r="AC181" s="73"/>
      <c r="AD181" s="88" t="s">
        <v>683</v>
      </c>
      <c r="AE181" s="88" t="s">
        <v>959</v>
      </c>
      <c r="AF181" s="88" t="s">
        <v>1220</v>
      </c>
      <c r="AG181" s="88" t="s">
        <v>1360</v>
      </c>
      <c r="AH181" s="88" t="s">
        <v>1602</v>
      </c>
      <c r="AI181" s="88">
        <v>622343</v>
      </c>
      <c r="AJ181" s="88">
        <v>10221</v>
      </c>
      <c r="AK181" s="88">
        <v>16563</v>
      </c>
      <c r="AL181" s="88">
        <v>2320</v>
      </c>
      <c r="AM181" s="88" t="s">
        <v>1705</v>
      </c>
      <c r="AN181" s="100" t="str">
        <f>HYPERLINK("https://www.youtube.com/watch?v=BJGgHGl-NUg")</f>
        <v>https://www.youtube.com/watch?v=BJGgHGl-NUg</v>
      </c>
      <c r="AO181" s="88" t="str">
        <f>REPLACE(INDEX(GroupVertices[Group],MATCH(Vertices[[#This Row],[Vertex]],GroupVertices[Vertex],0)),1,1,"")</f>
        <v>10</v>
      </c>
      <c r="AP181" s="48">
        <v>0</v>
      </c>
      <c r="AQ181" s="49">
        <v>0</v>
      </c>
      <c r="AR181" s="48">
        <v>0</v>
      </c>
      <c r="AS181" s="49">
        <v>0</v>
      </c>
      <c r="AT181" s="48">
        <v>0</v>
      </c>
      <c r="AU181" s="49">
        <v>0</v>
      </c>
      <c r="AV181" s="48">
        <v>14</v>
      </c>
      <c r="AW181" s="49">
        <v>100</v>
      </c>
      <c r="AX181" s="48">
        <v>14</v>
      </c>
      <c r="AY181" s="48"/>
      <c r="AZ181" s="48"/>
      <c r="BA181" s="48"/>
      <c r="BB181" s="48"/>
      <c r="BC181" s="2"/>
      <c r="BD181" s="3"/>
      <c r="BE181" s="3"/>
      <c r="BF181" s="3"/>
      <c r="BG181" s="3"/>
    </row>
    <row r="182" spans="1:59" ht="15">
      <c r="A182" s="65" t="s">
        <v>396</v>
      </c>
      <c r="B182" s="66"/>
      <c r="C182" s="66"/>
      <c r="D182" s="67">
        <v>624.070227292434</v>
      </c>
      <c r="E182" s="69"/>
      <c r="F182" s="98" t="str">
        <f>HYPERLINK("https://i.ytimg.com/vi/DX7ZXbEM3FE/default.jpg")</f>
        <v>https://i.ytimg.com/vi/DX7ZXbEM3FE/default.jpg</v>
      </c>
      <c r="G182" s="66"/>
      <c r="H182" s="70" t="s">
        <v>684</v>
      </c>
      <c r="I182" s="71"/>
      <c r="J182" s="71" t="s">
        <v>159</v>
      </c>
      <c r="K182" s="70" t="s">
        <v>684</v>
      </c>
      <c r="L182" s="74">
        <v>909.9090909090909</v>
      </c>
      <c r="M182" s="75">
        <v>8769.8818359375</v>
      </c>
      <c r="N182" s="75">
        <v>836.4922485351562</v>
      </c>
      <c r="O182" s="76"/>
      <c r="P182" s="77"/>
      <c r="Q182" s="77"/>
      <c r="R182" s="91"/>
      <c r="S182" s="48">
        <v>1</v>
      </c>
      <c r="T182" s="48">
        <v>0</v>
      </c>
      <c r="U182" s="49">
        <v>0</v>
      </c>
      <c r="V182" s="49">
        <v>0.000761</v>
      </c>
      <c r="W182" s="49">
        <v>0.000578</v>
      </c>
      <c r="X182" s="49">
        <v>0.47414</v>
      </c>
      <c r="Y182" s="49">
        <v>0</v>
      </c>
      <c r="Z182" s="49">
        <v>0</v>
      </c>
      <c r="AA182" s="72">
        <v>182</v>
      </c>
      <c r="AB182" s="72"/>
      <c r="AC182" s="73"/>
      <c r="AD182" s="88" t="s">
        <v>684</v>
      </c>
      <c r="AE182" s="88" t="s">
        <v>960</v>
      </c>
      <c r="AF182" s="88" t="s">
        <v>1221</v>
      </c>
      <c r="AG182" s="88" t="s">
        <v>1385</v>
      </c>
      <c r="AH182" s="88" t="s">
        <v>1603</v>
      </c>
      <c r="AI182" s="88">
        <v>5019780</v>
      </c>
      <c r="AJ182" s="88">
        <v>37805</v>
      </c>
      <c r="AK182" s="88">
        <v>82356</v>
      </c>
      <c r="AL182" s="88">
        <v>9650</v>
      </c>
      <c r="AM182" s="88" t="s">
        <v>1705</v>
      </c>
      <c r="AN182" s="100" t="str">
        <f>HYPERLINK("https://www.youtube.com/watch?v=DX7ZXbEM3FE")</f>
        <v>https://www.youtube.com/watch?v=DX7ZXbEM3FE</v>
      </c>
      <c r="AO182" s="88" t="str">
        <f>REPLACE(INDEX(GroupVertices[Group],MATCH(Vertices[[#This Row],[Vertex]],GroupVertices[Vertex],0)),1,1,"")</f>
        <v>10</v>
      </c>
      <c r="AP182" s="48">
        <v>3</v>
      </c>
      <c r="AQ182" s="49">
        <v>5.660377358490566</v>
      </c>
      <c r="AR182" s="48">
        <v>0</v>
      </c>
      <c r="AS182" s="49">
        <v>0</v>
      </c>
      <c r="AT182" s="48">
        <v>0</v>
      </c>
      <c r="AU182" s="49">
        <v>0</v>
      </c>
      <c r="AV182" s="48">
        <v>50</v>
      </c>
      <c r="AW182" s="49">
        <v>94.33962264150944</v>
      </c>
      <c r="AX182" s="48">
        <v>53</v>
      </c>
      <c r="AY182" s="48"/>
      <c r="AZ182" s="48"/>
      <c r="BA182" s="48"/>
      <c r="BB182" s="48"/>
      <c r="BC182" s="2"/>
      <c r="BD182" s="3"/>
      <c r="BE182" s="3"/>
      <c r="BF182" s="3"/>
      <c r="BG182" s="3"/>
    </row>
    <row r="183" spans="1:59" ht="15">
      <c r="A183" s="65" t="s">
        <v>397</v>
      </c>
      <c r="B183" s="66"/>
      <c r="C183" s="66"/>
      <c r="D183" s="67">
        <v>320.46650744760666</v>
      </c>
      <c r="E183" s="69"/>
      <c r="F183" s="98" t="str">
        <f>HYPERLINK("https://i.ytimg.com/vi/6ja8QEp0SkA/default.jpg")</f>
        <v>https://i.ytimg.com/vi/6ja8QEp0SkA/default.jpg</v>
      </c>
      <c r="G183" s="66"/>
      <c r="H183" s="70" t="s">
        <v>685</v>
      </c>
      <c r="I183" s="71"/>
      <c r="J183" s="71" t="s">
        <v>159</v>
      </c>
      <c r="K183" s="70" t="s">
        <v>685</v>
      </c>
      <c r="L183" s="74">
        <v>909.9090909090909</v>
      </c>
      <c r="M183" s="75">
        <v>9047.794921875</v>
      </c>
      <c r="N183" s="75">
        <v>158.07672119140625</v>
      </c>
      <c r="O183" s="76"/>
      <c r="P183" s="77"/>
      <c r="Q183" s="77"/>
      <c r="R183" s="91"/>
      <c r="S183" s="48">
        <v>1</v>
      </c>
      <c r="T183" s="48">
        <v>0</v>
      </c>
      <c r="U183" s="49">
        <v>0</v>
      </c>
      <c r="V183" s="49">
        <v>0.000761</v>
      </c>
      <c r="W183" s="49">
        <v>0.000578</v>
      </c>
      <c r="X183" s="49">
        <v>0.47414</v>
      </c>
      <c r="Y183" s="49">
        <v>0</v>
      </c>
      <c r="Z183" s="49">
        <v>0</v>
      </c>
      <c r="AA183" s="72">
        <v>183</v>
      </c>
      <c r="AB183" s="72"/>
      <c r="AC183" s="73"/>
      <c r="AD183" s="88" t="s">
        <v>685</v>
      </c>
      <c r="AE183" s="88" t="s">
        <v>961</v>
      </c>
      <c r="AF183" s="88" t="s">
        <v>1222</v>
      </c>
      <c r="AG183" s="88" t="s">
        <v>1385</v>
      </c>
      <c r="AH183" s="88" t="s">
        <v>1604</v>
      </c>
      <c r="AI183" s="88">
        <v>2218674</v>
      </c>
      <c r="AJ183" s="88">
        <v>0</v>
      </c>
      <c r="AK183" s="88">
        <v>43603</v>
      </c>
      <c r="AL183" s="88">
        <v>6290</v>
      </c>
      <c r="AM183" s="88" t="s">
        <v>1705</v>
      </c>
      <c r="AN183" s="100" t="str">
        <f>HYPERLINK("https://www.youtube.com/watch?v=6ja8QEp0SkA")</f>
        <v>https://www.youtube.com/watch?v=6ja8QEp0SkA</v>
      </c>
      <c r="AO183" s="88" t="str">
        <f>REPLACE(INDEX(GroupVertices[Group],MATCH(Vertices[[#This Row],[Vertex]],GroupVertices[Vertex],0)),1,1,"")</f>
        <v>10</v>
      </c>
      <c r="AP183" s="48">
        <v>3</v>
      </c>
      <c r="AQ183" s="49">
        <v>4.477611940298507</v>
      </c>
      <c r="AR183" s="48">
        <v>2</v>
      </c>
      <c r="AS183" s="49">
        <v>2.985074626865672</v>
      </c>
      <c r="AT183" s="48">
        <v>0</v>
      </c>
      <c r="AU183" s="49">
        <v>0</v>
      </c>
      <c r="AV183" s="48">
        <v>62</v>
      </c>
      <c r="AW183" s="49">
        <v>92.53731343283582</v>
      </c>
      <c r="AX183" s="48">
        <v>67</v>
      </c>
      <c r="AY183" s="48"/>
      <c r="AZ183" s="48"/>
      <c r="BA183" s="48"/>
      <c r="BB183" s="48"/>
      <c r="BC183" s="2"/>
      <c r="BD183" s="3"/>
      <c r="BE183" s="3"/>
      <c r="BF183" s="3"/>
      <c r="BG183" s="3"/>
    </row>
    <row r="184" spans="1:59" ht="15">
      <c r="A184" s="65" t="s">
        <v>398</v>
      </c>
      <c r="B184" s="66"/>
      <c r="C184" s="66"/>
      <c r="D184" s="67">
        <v>155.58796224736383</v>
      </c>
      <c r="E184" s="69"/>
      <c r="F184" s="98" t="str">
        <f>HYPERLINK("https://i.ytimg.com/vi/74WQgNa3OsQ/default.jpg")</f>
        <v>https://i.ytimg.com/vi/74WQgNa3OsQ/default.jpg</v>
      </c>
      <c r="G184" s="66"/>
      <c r="H184" s="70" t="s">
        <v>686</v>
      </c>
      <c r="I184" s="71"/>
      <c r="J184" s="71" t="s">
        <v>75</v>
      </c>
      <c r="K184" s="70" t="s">
        <v>686</v>
      </c>
      <c r="L184" s="74">
        <v>1818.8181818181818</v>
      </c>
      <c r="M184" s="75">
        <v>207.94996643066406</v>
      </c>
      <c r="N184" s="75">
        <v>6716.08447265625</v>
      </c>
      <c r="O184" s="76"/>
      <c r="P184" s="77"/>
      <c r="Q184" s="77"/>
      <c r="R184" s="91"/>
      <c r="S184" s="48">
        <v>2</v>
      </c>
      <c r="T184" s="48">
        <v>0</v>
      </c>
      <c r="U184" s="49">
        <v>133.045661</v>
      </c>
      <c r="V184" s="49">
        <v>0.000811</v>
      </c>
      <c r="W184" s="49">
        <v>0.002576</v>
      </c>
      <c r="X184" s="49">
        <v>0.701606</v>
      </c>
      <c r="Y184" s="49">
        <v>0</v>
      </c>
      <c r="Z184" s="49">
        <v>0</v>
      </c>
      <c r="AA184" s="72">
        <v>184</v>
      </c>
      <c r="AB184" s="72"/>
      <c r="AC184" s="73"/>
      <c r="AD184" s="88" t="s">
        <v>686</v>
      </c>
      <c r="AE184" s="88" t="s">
        <v>962</v>
      </c>
      <c r="AF184" s="88" t="s">
        <v>1223</v>
      </c>
      <c r="AG184" s="88" t="s">
        <v>1386</v>
      </c>
      <c r="AH184" s="88" t="s">
        <v>1605</v>
      </c>
      <c r="AI184" s="88">
        <v>697473</v>
      </c>
      <c r="AJ184" s="88">
        <v>4056</v>
      </c>
      <c r="AK184" s="88">
        <v>27474</v>
      </c>
      <c r="AL184" s="88">
        <v>456</v>
      </c>
      <c r="AM184" s="88" t="s">
        <v>1705</v>
      </c>
      <c r="AN184" s="100" t="str">
        <f>HYPERLINK("https://www.youtube.com/watch?v=74WQgNa3OsQ")</f>
        <v>https://www.youtube.com/watch?v=74WQgNa3OsQ</v>
      </c>
      <c r="AO184" s="88" t="str">
        <f>REPLACE(INDEX(GroupVertices[Group],MATCH(Vertices[[#This Row],[Vertex]],GroupVertices[Vertex],0)),1,1,"")</f>
        <v>1</v>
      </c>
      <c r="AP184" s="48">
        <v>1</v>
      </c>
      <c r="AQ184" s="49">
        <v>2.0408163265306123</v>
      </c>
      <c r="AR184" s="48">
        <v>2</v>
      </c>
      <c r="AS184" s="49">
        <v>4.081632653061225</v>
      </c>
      <c r="AT184" s="48">
        <v>0</v>
      </c>
      <c r="AU184" s="49">
        <v>0</v>
      </c>
      <c r="AV184" s="48">
        <v>46</v>
      </c>
      <c r="AW184" s="49">
        <v>93.87755102040816</v>
      </c>
      <c r="AX184" s="48">
        <v>49</v>
      </c>
      <c r="AY184" s="48"/>
      <c r="AZ184" s="48"/>
      <c r="BA184" s="48"/>
      <c r="BB184" s="48"/>
      <c r="BC184" s="2"/>
      <c r="BD184" s="3"/>
      <c r="BE184" s="3"/>
      <c r="BF184" s="3"/>
      <c r="BG184" s="3"/>
    </row>
    <row r="185" spans="1:59" ht="15">
      <c r="A185" s="65" t="s">
        <v>399</v>
      </c>
      <c r="B185" s="66"/>
      <c r="C185" s="66"/>
      <c r="D185" s="67">
        <v>582.1699471825012</v>
      </c>
      <c r="E185" s="69"/>
      <c r="F185" s="98" t="str">
        <f>HYPERLINK("https://i.ytimg.com/vi/BvArUcf-1V4/default.jpg")</f>
        <v>https://i.ytimg.com/vi/BvArUcf-1V4/default.jpg</v>
      </c>
      <c r="G185" s="66"/>
      <c r="H185" s="70" t="s">
        <v>687</v>
      </c>
      <c r="I185" s="71"/>
      <c r="J185" s="71" t="s">
        <v>159</v>
      </c>
      <c r="K185" s="70" t="s">
        <v>687</v>
      </c>
      <c r="L185" s="74">
        <v>909.9090909090909</v>
      </c>
      <c r="M185" s="75">
        <v>7354.98388671875</v>
      </c>
      <c r="N185" s="75">
        <v>6198.060546875</v>
      </c>
      <c r="O185" s="76"/>
      <c r="P185" s="77"/>
      <c r="Q185" s="77"/>
      <c r="R185" s="91"/>
      <c r="S185" s="48">
        <v>1</v>
      </c>
      <c r="T185" s="48">
        <v>0</v>
      </c>
      <c r="U185" s="49">
        <v>0</v>
      </c>
      <c r="V185" s="49">
        <v>0.000764</v>
      </c>
      <c r="W185" s="49">
        <v>0.000747</v>
      </c>
      <c r="X185" s="49">
        <v>0.505548</v>
      </c>
      <c r="Y185" s="49">
        <v>0</v>
      </c>
      <c r="Z185" s="49">
        <v>0</v>
      </c>
      <c r="AA185" s="72">
        <v>185</v>
      </c>
      <c r="AB185" s="72"/>
      <c r="AC185" s="73"/>
      <c r="AD185" s="88" t="s">
        <v>687</v>
      </c>
      <c r="AE185" s="88" t="s">
        <v>963</v>
      </c>
      <c r="AF185" s="88" t="s">
        <v>1224</v>
      </c>
      <c r="AG185" s="88" t="s">
        <v>1374</v>
      </c>
      <c r="AH185" s="88" t="s">
        <v>1606</v>
      </c>
      <c r="AI185" s="88">
        <v>4633200</v>
      </c>
      <c r="AJ185" s="88">
        <v>14907</v>
      </c>
      <c r="AK185" s="88">
        <v>96731</v>
      </c>
      <c r="AL185" s="88">
        <v>22671</v>
      </c>
      <c r="AM185" s="88" t="s">
        <v>1705</v>
      </c>
      <c r="AN185" s="100" t="str">
        <f>HYPERLINK("https://www.youtube.com/watch?v=BvArUcf-1V4")</f>
        <v>https://www.youtube.com/watch?v=BvArUcf-1V4</v>
      </c>
      <c r="AO185" s="88" t="str">
        <f>REPLACE(INDEX(GroupVertices[Group],MATCH(Vertices[[#This Row],[Vertex]],GroupVertices[Vertex],0)),1,1,"")</f>
        <v>9</v>
      </c>
      <c r="AP185" s="48">
        <v>0</v>
      </c>
      <c r="AQ185" s="49">
        <v>0</v>
      </c>
      <c r="AR185" s="48">
        <v>3</v>
      </c>
      <c r="AS185" s="49">
        <v>15</v>
      </c>
      <c r="AT185" s="48">
        <v>0</v>
      </c>
      <c r="AU185" s="49">
        <v>0</v>
      </c>
      <c r="AV185" s="48">
        <v>17</v>
      </c>
      <c r="AW185" s="49">
        <v>85</v>
      </c>
      <c r="AX185" s="48">
        <v>20</v>
      </c>
      <c r="AY185" s="48"/>
      <c r="AZ185" s="48"/>
      <c r="BA185" s="48"/>
      <c r="BB185" s="48"/>
      <c r="BC185" s="2"/>
      <c r="BD185" s="3"/>
      <c r="BE185" s="3"/>
      <c r="BF185" s="3"/>
      <c r="BG185" s="3"/>
    </row>
    <row r="186" spans="1:59" ht="15">
      <c r="A186" s="65" t="s">
        <v>400</v>
      </c>
      <c r="B186" s="66"/>
      <c r="C186" s="66"/>
      <c r="D186" s="67">
        <v>182.02682439029905</v>
      </c>
      <c r="E186" s="69"/>
      <c r="F186" s="98" t="str">
        <f>HYPERLINK("https://i.ytimg.com/vi/idhKP4ZhjGs/default.jpg")</f>
        <v>https://i.ytimg.com/vi/idhKP4ZhjGs/default.jpg</v>
      </c>
      <c r="G186" s="66"/>
      <c r="H186" s="70" t="s">
        <v>688</v>
      </c>
      <c r="I186" s="71"/>
      <c r="J186" s="71" t="s">
        <v>159</v>
      </c>
      <c r="K186" s="70" t="s">
        <v>688</v>
      </c>
      <c r="L186" s="74">
        <v>909.9090909090909</v>
      </c>
      <c r="M186" s="75">
        <v>7716.8818359375</v>
      </c>
      <c r="N186" s="75">
        <v>4497.2626953125</v>
      </c>
      <c r="O186" s="76"/>
      <c r="P186" s="77"/>
      <c r="Q186" s="77"/>
      <c r="R186" s="91"/>
      <c r="S186" s="48">
        <v>1</v>
      </c>
      <c r="T186" s="48">
        <v>0</v>
      </c>
      <c r="U186" s="49">
        <v>0</v>
      </c>
      <c r="V186" s="49">
        <v>0.000764</v>
      </c>
      <c r="W186" s="49">
        <v>0.000747</v>
      </c>
      <c r="X186" s="49">
        <v>0.505548</v>
      </c>
      <c r="Y186" s="49">
        <v>0</v>
      </c>
      <c r="Z186" s="49">
        <v>0</v>
      </c>
      <c r="AA186" s="72">
        <v>186</v>
      </c>
      <c r="AB186" s="72"/>
      <c r="AC186" s="73"/>
      <c r="AD186" s="88" t="s">
        <v>688</v>
      </c>
      <c r="AE186" s="88" t="s">
        <v>964</v>
      </c>
      <c r="AF186" s="88" t="s">
        <v>1225</v>
      </c>
      <c r="AG186" s="88" t="s">
        <v>1374</v>
      </c>
      <c r="AH186" s="88" t="s">
        <v>1607</v>
      </c>
      <c r="AI186" s="88">
        <v>941403</v>
      </c>
      <c r="AJ186" s="88">
        <v>1107</v>
      </c>
      <c r="AK186" s="88">
        <v>8529</v>
      </c>
      <c r="AL186" s="88">
        <v>658</v>
      </c>
      <c r="AM186" s="88" t="s">
        <v>1705</v>
      </c>
      <c r="AN186" s="100" t="str">
        <f>HYPERLINK("https://www.youtube.com/watch?v=idhKP4ZhjGs")</f>
        <v>https://www.youtube.com/watch?v=idhKP4ZhjGs</v>
      </c>
      <c r="AO186" s="88" t="str">
        <f>REPLACE(INDEX(GroupVertices[Group],MATCH(Vertices[[#This Row],[Vertex]],GroupVertices[Vertex],0)),1,1,"")</f>
        <v>9</v>
      </c>
      <c r="AP186" s="48">
        <v>0</v>
      </c>
      <c r="AQ186" s="49">
        <v>0</v>
      </c>
      <c r="AR186" s="48">
        <v>0</v>
      </c>
      <c r="AS186" s="49">
        <v>0</v>
      </c>
      <c r="AT186" s="48">
        <v>0</v>
      </c>
      <c r="AU186" s="49">
        <v>0</v>
      </c>
      <c r="AV186" s="48">
        <v>35</v>
      </c>
      <c r="AW186" s="49">
        <v>100</v>
      </c>
      <c r="AX186" s="48">
        <v>35</v>
      </c>
      <c r="AY186" s="48"/>
      <c r="AZ186" s="48"/>
      <c r="BA186" s="48"/>
      <c r="BB186" s="48"/>
      <c r="BC186" s="2"/>
      <c r="BD186" s="3"/>
      <c r="BE186" s="3"/>
      <c r="BF186" s="3"/>
      <c r="BG186" s="3"/>
    </row>
    <row r="187" spans="1:59" ht="15">
      <c r="A187" s="65" t="s">
        <v>401</v>
      </c>
      <c r="B187" s="66"/>
      <c r="C187" s="66"/>
      <c r="D187" s="67">
        <v>371.6452641440436</v>
      </c>
      <c r="E187" s="69"/>
      <c r="F187" s="98" t="str">
        <f>HYPERLINK("https://i.ytimg.com/vi/XIMd2tMOD5g/default.jpg")</f>
        <v>https://i.ytimg.com/vi/XIMd2tMOD5g/default.jpg</v>
      </c>
      <c r="G187" s="66"/>
      <c r="H187" s="70" t="s">
        <v>689</v>
      </c>
      <c r="I187" s="71"/>
      <c r="J187" s="71" t="s">
        <v>159</v>
      </c>
      <c r="K187" s="70" t="s">
        <v>689</v>
      </c>
      <c r="L187" s="74">
        <v>909.9090909090909</v>
      </c>
      <c r="M187" s="75">
        <v>7066.9765625</v>
      </c>
      <c r="N187" s="75">
        <v>4041.39404296875</v>
      </c>
      <c r="O187" s="76"/>
      <c r="P187" s="77"/>
      <c r="Q187" s="77"/>
      <c r="R187" s="91"/>
      <c r="S187" s="48">
        <v>1</v>
      </c>
      <c r="T187" s="48">
        <v>0</v>
      </c>
      <c r="U187" s="49">
        <v>0</v>
      </c>
      <c r="V187" s="49">
        <v>0.000764</v>
      </c>
      <c r="W187" s="49">
        <v>0.000747</v>
      </c>
      <c r="X187" s="49">
        <v>0.505548</v>
      </c>
      <c r="Y187" s="49">
        <v>0</v>
      </c>
      <c r="Z187" s="49">
        <v>0</v>
      </c>
      <c r="AA187" s="72">
        <v>187</v>
      </c>
      <c r="AB187" s="72"/>
      <c r="AC187" s="73"/>
      <c r="AD187" s="88" t="s">
        <v>689</v>
      </c>
      <c r="AE187" s="88" t="s">
        <v>965</v>
      </c>
      <c r="AF187" s="88" t="s">
        <v>1226</v>
      </c>
      <c r="AG187" s="88" t="s">
        <v>1374</v>
      </c>
      <c r="AH187" s="88" t="s">
        <v>1608</v>
      </c>
      <c r="AI187" s="88">
        <v>2690859</v>
      </c>
      <c r="AJ187" s="88">
        <v>4746</v>
      </c>
      <c r="AK187" s="88">
        <v>42682</v>
      </c>
      <c r="AL187" s="88">
        <v>1602</v>
      </c>
      <c r="AM187" s="88" t="s">
        <v>1705</v>
      </c>
      <c r="AN187" s="100" t="str">
        <f>HYPERLINK("https://www.youtube.com/watch?v=XIMd2tMOD5g")</f>
        <v>https://www.youtube.com/watch?v=XIMd2tMOD5g</v>
      </c>
      <c r="AO187" s="88" t="str">
        <f>REPLACE(INDEX(GroupVertices[Group],MATCH(Vertices[[#This Row],[Vertex]],GroupVertices[Vertex],0)),1,1,"")</f>
        <v>9</v>
      </c>
      <c r="AP187" s="48">
        <v>4</v>
      </c>
      <c r="AQ187" s="49">
        <v>11.428571428571429</v>
      </c>
      <c r="AR187" s="48">
        <v>1</v>
      </c>
      <c r="AS187" s="49">
        <v>2.857142857142857</v>
      </c>
      <c r="AT187" s="48">
        <v>0</v>
      </c>
      <c r="AU187" s="49">
        <v>0</v>
      </c>
      <c r="AV187" s="48">
        <v>30</v>
      </c>
      <c r="AW187" s="49">
        <v>85.71428571428571</v>
      </c>
      <c r="AX187" s="48">
        <v>35</v>
      </c>
      <c r="AY187" s="48"/>
      <c r="AZ187" s="48"/>
      <c r="BA187" s="48"/>
      <c r="BB187" s="48"/>
      <c r="BC187" s="2"/>
      <c r="BD187" s="3"/>
      <c r="BE187" s="3"/>
      <c r="BF187" s="3"/>
      <c r="BG187" s="3"/>
    </row>
    <row r="188" spans="1:59" ht="15">
      <c r="A188" s="65" t="s">
        <v>402</v>
      </c>
      <c r="B188" s="66"/>
      <c r="C188" s="66"/>
      <c r="D188" s="67">
        <v>253.56295216265227</v>
      </c>
      <c r="E188" s="69"/>
      <c r="F188" s="98" t="str">
        <f>HYPERLINK("https://i.ytimg.com/vi/G0rSXLZnYM4/default.jpg")</f>
        <v>https://i.ytimg.com/vi/G0rSXLZnYM4/default.jpg</v>
      </c>
      <c r="G188" s="66"/>
      <c r="H188" s="70" t="s">
        <v>690</v>
      </c>
      <c r="I188" s="71"/>
      <c r="J188" s="71" t="s">
        <v>159</v>
      </c>
      <c r="K188" s="70" t="s">
        <v>690</v>
      </c>
      <c r="L188" s="74">
        <v>909.9090909090909</v>
      </c>
      <c r="M188" s="75">
        <v>5763.7548828125</v>
      </c>
      <c r="N188" s="75">
        <v>4771.67626953125</v>
      </c>
      <c r="O188" s="76"/>
      <c r="P188" s="77"/>
      <c r="Q188" s="77"/>
      <c r="R188" s="91"/>
      <c r="S188" s="48">
        <v>1</v>
      </c>
      <c r="T188" s="48">
        <v>0</v>
      </c>
      <c r="U188" s="49">
        <v>0</v>
      </c>
      <c r="V188" s="49">
        <v>0.000764</v>
      </c>
      <c r="W188" s="49">
        <v>0.000747</v>
      </c>
      <c r="X188" s="49">
        <v>0.505548</v>
      </c>
      <c r="Y188" s="49">
        <v>0</v>
      </c>
      <c r="Z188" s="49">
        <v>0</v>
      </c>
      <c r="AA188" s="72">
        <v>188</v>
      </c>
      <c r="AB188" s="72"/>
      <c r="AC188" s="73"/>
      <c r="AD188" s="88" t="s">
        <v>690</v>
      </c>
      <c r="AE188" s="88" t="s">
        <v>966</v>
      </c>
      <c r="AF188" s="88" t="s">
        <v>1227</v>
      </c>
      <c r="AG188" s="88" t="s">
        <v>1374</v>
      </c>
      <c r="AH188" s="88" t="s">
        <v>1609</v>
      </c>
      <c r="AI188" s="88">
        <v>1601409</v>
      </c>
      <c r="AJ188" s="88">
        <v>4474</v>
      </c>
      <c r="AK188" s="88">
        <v>27482</v>
      </c>
      <c r="AL188" s="88">
        <v>1151</v>
      </c>
      <c r="AM188" s="88" t="s">
        <v>1705</v>
      </c>
      <c r="AN188" s="100" t="str">
        <f>HYPERLINK("https://www.youtube.com/watch?v=G0rSXLZnYM4")</f>
        <v>https://www.youtube.com/watch?v=G0rSXLZnYM4</v>
      </c>
      <c r="AO188" s="88" t="str">
        <f>REPLACE(INDEX(GroupVertices[Group],MATCH(Vertices[[#This Row],[Vertex]],GroupVertices[Vertex],0)),1,1,"")</f>
        <v>9</v>
      </c>
      <c r="AP188" s="48">
        <v>1</v>
      </c>
      <c r="AQ188" s="49">
        <v>2.9411764705882355</v>
      </c>
      <c r="AR188" s="48">
        <v>5</v>
      </c>
      <c r="AS188" s="49">
        <v>14.705882352941176</v>
      </c>
      <c r="AT188" s="48">
        <v>0</v>
      </c>
      <c r="AU188" s="49">
        <v>0</v>
      </c>
      <c r="AV188" s="48">
        <v>28</v>
      </c>
      <c r="AW188" s="49">
        <v>82.3529411764706</v>
      </c>
      <c r="AX188" s="48">
        <v>34</v>
      </c>
      <c r="AY188" s="48"/>
      <c r="AZ188" s="48"/>
      <c r="BA188" s="48"/>
      <c r="BB188" s="48"/>
      <c r="BC188" s="2"/>
      <c r="BD188" s="3"/>
      <c r="BE188" s="3"/>
      <c r="BF188" s="3"/>
      <c r="BG188" s="3"/>
    </row>
    <row r="189" spans="1:59" ht="15">
      <c r="A189" s="65" t="s">
        <v>403</v>
      </c>
      <c r="B189" s="66"/>
      <c r="C189" s="66"/>
      <c r="D189" s="67">
        <v>1000</v>
      </c>
      <c r="E189" s="69"/>
      <c r="F189" s="98" t="str">
        <f>HYPERLINK("https://i.ytimg.com/vi/4GCO9k1FKaE/default.jpg")</f>
        <v>https://i.ytimg.com/vi/4GCO9k1FKaE/default.jpg</v>
      </c>
      <c r="G189" s="66"/>
      <c r="H189" s="70" t="s">
        <v>691</v>
      </c>
      <c r="I189" s="71"/>
      <c r="J189" s="71" t="s">
        <v>159</v>
      </c>
      <c r="K189" s="70" t="s">
        <v>691</v>
      </c>
      <c r="L189" s="74">
        <v>909.9090909090909</v>
      </c>
      <c r="M189" s="75">
        <v>5937.47802734375</v>
      </c>
      <c r="N189" s="75">
        <v>4048.5517578125</v>
      </c>
      <c r="O189" s="76"/>
      <c r="P189" s="77"/>
      <c r="Q189" s="77"/>
      <c r="R189" s="91"/>
      <c r="S189" s="48">
        <v>1</v>
      </c>
      <c r="T189" s="48">
        <v>0</v>
      </c>
      <c r="U189" s="49">
        <v>0</v>
      </c>
      <c r="V189" s="49">
        <v>0.000764</v>
      </c>
      <c r="W189" s="49">
        <v>0.000747</v>
      </c>
      <c r="X189" s="49">
        <v>0.505548</v>
      </c>
      <c r="Y189" s="49">
        <v>0</v>
      </c>
      <c r="Z189" s="49">
        <v>0</v>
      </c>
      <c r="AA189" s="72">
        <v>189</v>
      </c>
      <c r="AB189" s="72"/>
      <c r="AC189" s="73"/>
      <c r="AD189" s="88" t="s">
        <v>691</v>
      </c>
      <c r="AE189" s="88" t="s">
        <v>967</v>
      </c>
      <c r="AF189" s="88" t="s">
        <v>1228</v>
      </c>
      <c r="AG189" s="88" t="s">
        <v>1374</v>
      </c>
      <c r="AH189" s="88" t="s">
        <v>1610</v>
      </c>
      <c r="AI189" s="88">
        <v>8488180</v>
      </c>
      <c r="AJ189" s="88">
        <v>24000</v>
      </c>
      <c r="AK189" s="88">
        <v>117339</v>
      </c>
      <c r="AL189" s="88">
        <v>12078</v>
      </c>
      <c r="AM189" s="88" t="s">
        <v>1705</v>
      </c>
      <c r="AN189" s="100" t="str">
        <f>HYPERLINK("https://www.youtube.com/watch?v=4GCO9k1FKaE")</f>
        <v>https://www.youtube.com/watch?v=4GCO9k1FKaE</v>
      </c>
      <c r="AO189" s="88" t="str">
        <f>REPLACE(INDEX(GroupVertices[Group],MATCH(Vertices[[#This Row],[Vertex]],GroupVertices[Vertex],0)),1,1,"")</f>
        <v>9</v>
      </c>
      <c r="AP189" s="48">
        <v>14</v>
      </c>
      <c r="AQ189" s="49">
        <v>21.875</v>
      </c>
      <c r="AR189" s="48">
        <v>4</v>
      </c>
      <c r="AS189" s="49">
        <v>6.25</v>
      </c>
      <c r="AT189" s="48">
        <v>0</v>
      </c>
      <c r="AU189" s="49">
        <v>0</v>
      </c>
      <c r="AV189" s="48">
        <v>46</v>
      </c>
      <c r="AW189" s="49">
        <v>71.875</v>
      </c>
      <c r="AX189" s="48">
        <v>64</v>
      </c>
      <c r="AY189" s="48"/>
      <c r="AZ189" s="48"/>
      <c r="BA189" s="48"/>
      <c r="BB189" s="48"/>
      <c r="BC189" s="2"/>
      <c r="BD189" s="3"/>
      <c r="BE189" s="3"/>
      <c r="BF189" s="3"/>
      <c r="BG189" s="3"/>
    </row>
    <row r="190" spans="1:59" ht="15">
      <c r="A190" s="65" t="s">
        <v>404</v>
      </c>
      <c r="B190" s="66"/>
      <c r="C190" s="66"/>
      <c r="D190" s="67">
        <v>131.9945863006262</v>
      </c>
      <c r="E190" s="69"/>
      <c r="F190" s="98" t="str">
        <f>HYPERLINK("https://i.ytimg.com/vi/syGME_XtHkg/default.jpg")</f>
        <v>https://i.ytimg.com/vi/syGME_XtHkg/default.jpg</v>
      </c>
      <c r="G190" s="66"/>
      <c r="H190" s="70" t="s">
        <v>692</v>
      </c>
      <c r="I190" s="71"/>
      <c r="J190" s="71" t="s">
        <v>159</v>
      </c>
      <c r="K190" s="70" t="s">
        <v>692</v>
      </c>
      <c r="L190" s="74">
        <v>909.9090909090909</v>
      </c>
      <c r="M190" s="75">
        <v>7549.1142578125</v>
      </c>
      <c r="N190" s="75">
        <v>3937.8359375</v>
      </c>
      <c r="O190" s="76"/>
      <c r="P190" s="77"/>
      <c r="Q190" s="77"/>
      <c r="R190" s="91"/>
      <c r="S190" s="48">
        <v>1</v>
      </c>
      <c r="T190" s="48">
        <v>0</v>
      </c>
      <c r="U190" s="49">
        <v>0</v>
      </c>
      <c r="V190" s="49">
        <v>0.000764</v>
      </c>
      <c r="W190" s="49">
        <v>0.000747</v>
      </c>
      <c r="X190" s="49">
        <v>0.505548</v>
      </c>
      <c r="Y190" s="49">
        <v>0</v>
      </c>
      <c r="Z190" s="49">
        <v>0</v>
      </c>
      <c r="AA190" s="72">
        <v>190</v>
      </c>
      <c r="AB190" s="72"/>
      <c r="AC190" s="73"/>
      <c r="AD190" s="88" t="s">
        <v>692</v>
      </c>
      <c r="AE190" s="88" t="s">
        <v>968</v>
      </c>
      <c r="AF190" s="88" t="s">
        <v>1229</v>
      </c>
      <c r="AG190" s="88" t="s">
        <v>1374</v>
      </c>
      <c r="AH190" s="88" t="s">
        <v>1611</v>
      </c>
      <c r="AI190" s="88">
        <v>479796</v>
      </c>
      <c r="AJ190" s="88">
        <v>1258</v>
      </c>
      <c r="AK190" s="88">
        <v>12827</v>
      </c>
      <c r="AL190" s="88">
        <v>280</v>
      </c>
      <c r="AM190" s="88" t="s">
        <v>1705</v>
      </c>
      <c r="AN190" s="100" t="str">
        <f>HYPERLINK("https://www.youtube.com/watch?v=syGME_XtHkg")</f>
        <v>https://www.youtube.com/watch?v=syGME_XtHkg</v>
      </c>
      <c r="AO190" s="88" t="str">
        <f>REPLACE(INDEX(GroupVertices[Group],MATCH(Vertices[[#This Row],[Vertex]],GroupVertices[Vertex],0)),1,1,"")</f>
        <v>9</v>
      </c>
      <c r="AP190" s="48">
        <v>0</v>
      </c>
      <c r="AQ190" s="49">
        <v>0</v>
      </c>
      <c r="AR190" s="48">
        <v>0</v>
      </c>
      <c r="AS190" s="49">
        <v>0</v>
      </c>
      <c r="AT190" s="48">
        <v>0</v>
      </c>
      <c r="AU190" s="49">
        <v>0</v>
      </c>
      <c r="AV190" s="48">
        <v>17</v>
      </c>
      <c r="AW190" s="49">
        <v>100</v>
      </c>
      <c r="AX190" s="48">
        <v>17</v>
      </c>
      <c r="AY190" s="48"/>
      <c r="AZ190" s="48"/>
      <c r="BA190" s="48"/>
      <c r="BB190" s="48"/>
      <c r="BC190" s="2"/>
      <c r="BD190" s="3"/>
      <c r="BE190" s="3"/>
      <c r="BF190" s="3"/>
      <c r="BG190" s="3"/>
    </row>
    <row r="191" spans="1:59" ht="15">
      <c r="A191" s="65" t="s">
        <v>405</v>
      </c>
      <c r="B191" s="66"/>
      <c r="C191" s="66"/>
      <c r="D191" s="67">
        <v>113.18162282801703</v>
      </c>
      <c r="E191" s="69"/>
      <c r="F191" s="98" t="str">
        <f>HYPERLINK("https://i.ytimg.com/vi/yRGcdGxklvg/default.jpg")</f>
        <v>https://i.ytimg.com/vi/yRGcdGxklvg/default.jpg</v>
      </c>
      <c r="G191" s="66"/>
      <c r="H191" s="70" t="s">
        <v>693</v>
      </c>
      <c r="I191" s="71"/>
      <c r="J191" s="71" t="s">
        <v>159</v>
      </c>
      <c r="K191" s="70" t="s">
        <v>693</v>
      </c>
      <c r="L191" s="74">
        <v>909.9090909090909</v>
      </c>
      <c r="M191" s="75">
        <v>6730.05419921875</v>
      </c>
      <c r="N191" s="75">
        <v>6574.48681640625</v>
      </c>
      <c r="O191" s="76"/>
      <c r="P191" s="77"/>
      <c r="Q191" s="77"/>
      <c r="R191" s="91"/>
      <c r="S191" s="48">
        <v>1</v>
      </c>
      <c r="T191" s="48">
        <v>0</v>
      </c>
      <c r="U191" s="49">
        <v>0</v>
      </c>
      <c r="V191" s="49">
        <v>0.000764</v>
      </c>
      <c r="W191" s="49">
        <v>0.000747</v>
      </c>
      <c r="X191" s="49">
        <v>0.505548</v>
      </c>
      <c r="Y191" s="49">
        <v>0</v>
      </c>
      <c r="Z191" s="49">
        <v>0</v>
      </c>
      <c r="AA191" s="72">
        <v>191</v>
      </c>
      <c r="AB191" s="72"/>
      <c r="AC191" s="73"/>
      <c r="AD191" s="88" t="s">
        <v>693</v>
      </c>
      <c r="AE191" s="88" t="s">
        <v>969</v>
      </c>
      <c r="AF191" s="88" t="s">
        <v>1230</v>
      </c>
      <c r="AG191" s="88" t="s">
        <v>1374</v>
      </c>
      <c r="AH191" s="88" t="s">
        <v>1612</v>
      </c>
      <c r="AI191" s="88">
        <v>306224</v>
      </c>
      <c r="AJ191" s="88">
        <v>1492</v>
      </c>
      <c r="AK191" s="88">
        <v>8949</v>
      </c>
      <c r="AL191" s="88">
        <v>430</v>
      </c>
      <c r="AM191" s="88" t="s">
        <v>1705</v>
      </c>
      <c r="AN191" s="100" t="str">
        <f>HYPERLINK("https://www.youtube.com/watch?v=yRGcdGxklvg")</f>
        <v>https://www.youtube.com/watch?v=yRGcdGxklvg</v>
      </c>
      <c r="AO191" s="88" t="str">
        <f>REPLACE(INDEX(GroupVertices[Group],MATCH(Vertices[[#This Row],[Vertex]],GroupVertices[Vertex],0)),1,1,"")</f>
        <v>9</v>
      </c>
      <c r="AP191" s="48">
        <v>1</v>
      </c>
      <c r="AQ191" s="49">
        <v>4.545454545454546</v>
      </c>
      <c r="AR191" s="48">
        <v>3</v>
      </c>
      <c r="AS191" s="49">
        <v>13.636363636363637</v>
      </c>
      <c r="AT191" s="48">
        <v>0</v>
      </c>
      <c r="AU191" s="49">
        <v>0</v>
      </c>
      <c r="AV191" s="48">
        <v>18</v>
      </c>
      <c r="AW191" s="49">
        <v>81.81818181818181</v>
      </c>
      <c r="AX191" s="48">
        <v>22</v>
      </c>
      <c r="AY191" s="48"/>
      <c r="AZ191" s="48"/>
      <c r="BA191" s="48"/>
      <c r="BB191" s="48"/>
      <c r="BC191" s="2"/>
      <c r="BD191" s="3"/>
      <c r="BE191" s="3"/>
      <c r="BF191" s="3"/>
      <c r="BG191" s="3"/>
    </row>
    <row r="192" spans="1:59" ht="15">
      <c r="A192" s="65" t="s">
        <v>406</v>
      </c>
      <c r="B192" s="66"/>
      <c r="C192" s="66"/>
      <c r="D192" s="67">
        <v>102.15594639834423</v>
      </c>
      <c r="E192" s="69"/>
      <c r="F192" s="98" t="str">
        <f>HYPERLINK("https://i.ytimg.com/vi/ayos8E96X5U/default.jpg")</f>
        <v>https://i.ytimg.com/vi/ayos8E96X5U/default.jpg</v>
      </c>
      <c r="G192" s="66"/>
      <c r="H192" s="70" t="s">
        <v>694</v>
      </c>
      <c r="I192" s="71"/>
      <c r="J192" s="71" t="s">
        <v>159</v>
      </c>
      <c r="K192" s="70" t="s">
        <v>694</v>
      </c>
      <c r="L192" s="74">
        <v>909.9090909090909</v>
      </c>
      <c r="M192" s="75">
        <v>6340.314453125</v>
      </c>
      <c r="N192" s="75">
        <v>6476.9169921875</v>
      </c>
      <c r="O192" s="76"/>
      <c r="P192" s="77"/>
      <c r="Q192" s="77"/>
      <c r="R192" s="91"/>
      <c r="S192" s="48">
        <v>1</v>
      </c>
      <c r="T192" s="48">
        <v>0</v>
      </c>
      <c r="U192" s="49">
        <v>0</v>
      </c>
      <c r="V192" s="49">
        <v>0.000764</v>
      </c>
      <c r="W192" s="49">
        <v>0.000747</v>
      </c>
      <c r="X192" s="49">
        <v>0.505548</v>
      </c>
      <c r="Y192" s="49">
        <v>0</v>
      </c>
      <c r="Z192" s="49">
        <v>0</v>
      </c>
      <c r="AA192" s="72">
        <v>192</v>
      </c>
      <c r="AB192" s="72"/>
      <c r="AC192" s="73"/>
      <c r="AD192" s="88" t="s">
        <v>694</v>
      </c>
      <c r="AE192" s="88" t="s">
        <v>970</v>
      </c>
      <c r="AF192" s="88" t="s">
        <v>1231</v>
      </c>
      <c r="AG192" s="88" t="s">
        <v>1374</v>
      </c>
      <c r="AH192" s="88" t="s">
        <v>1613</v>
      </c>
      <c r="AI192" s="88">
        <v>204499</v>
      </c>
      <c r="AJ192" s="88">
        <v>668</v>
      </c>
      <c r="AK192" s="88">
        <v>6696</v>
      </c>
      <c r="AL192" s="88">
        <v>120</v>
      </c>
      <c r="AM192" s="88" t="s">
        <v>1705</v>
      </c>
      <c r="AN192" s="100" t="str">
        <f>HYPERLINK("https://www.youtube.com/watch?v=ayos8E96X5U")</f>
        <v>https://www.youtube.com/watch?v=ayos8E96X5U</v>
      </c>
      <c r="AO192" s="88" t="str">
        <f>REPLACE(INDEX(GroupVertices[Group],MATCH(Vertices[[#This Row],[Vertex]],GroupVertices[Vertex],0)),1,1,"")</f>
        <v>9</v>
      </c>
      <c r="AP192" s="48">
        <v>0</v>
      </c>
      <c r="AQ192" s="49">
        <v>0</v>
      </c>
      <c r="AR192" s="48">
        <v>0</v>
      </c>
      <c r="AS192" s="49">
        <v>0</v>
      </c>
      <c r="AT192" s="48">
        <v>0</v>
      </c>
      <c r="AU192" s="49">
        <v>0</v>
      </c>
      <c r="AV192" s="48">
        <v>18</v>
      </c>
      <c r="AW192" s="49">
        <v>100</v>
      </c>
      <c r="AX192" s="48">
        <v>18</v>
      </c>
      <c r="AY192" s="48"/>
      <c r="AZ192" s="48"/>
      <c r="BA192" s="48"/>
      <c r="BB192" s="48"/>
      <c r="BC192" s="2"/>
      <c r="BD192" s="3"/>
      <c r="BE192" s="3"/>
      <c r="BF192" s="3"/>
      <c r="BG192" s="3"/>
    </row>
    <row r="193" spans="1:59" ht="15">
      <c r="A193" s="65" t="s">
        <v>407</v>
      </c>
      <c r="B193" s="66"/>
      <c r="C193" s="66"/>
      <c r="D193" s="67">
        <v>170.96657247985885</v>
      </c>
      <c r="E193" s="69"/>
      <c r="F193" s="98" t="str">
        <f>HYPERLINK("https://i.ytimg.com/vi/KFOcyKiz9nk/default.jpg")</f>
        <v>https://i.ytimg.com/vi/KFOcyKiz9nk/default.jpg</v>
      </c>
      <c r="G193" s="66"/>
      <c r="H193" s="70" t="s">
        <v>695</v>
      </c>
      <c r="I193" s="71"/>
      <c r="J193" s="71" t="s">
        <v>159</v>
      </c>
      <c r="K193" s="70" t="s">
        <v>695</v>
      </c>
      <c r="L193" s="74">
        <v>909.9090909090909</v>
      </c>
      <c r="M193" s="75">
        <v>6584.2880859375</v>
      </c>
      <c r="N193" s="75">
        <v>5737.4462890625</v>
      </c>
      <c r="O193" s="76"/>
      <c r="P193" s="77"/>
      <c r="Q193" s="77"/>
      <c r="R193" s="91"/>
      <c r="S193" s="48">
        <v>1</v>
      </c>
      <c r="T193" s="48">
        <v>0</v>
      </c>
      <c r="U193" s="49">
        <v>0</v>
      </c>
      <c r="V193" s="49">
        <v>0.000764</v>
      </c>
      <c r="W193" s="49">
        <v>0.000747</v>
      </c>
      <c r="X193" s="49">
        <v>0.505548</v>
      </c>
      <c r="Y193" s="49">
        <v>0</v>
      </c>
      <c r="Z193" s="49">
        <v>0</v>
      </c>
      <c r="AA193" s="72">
        <v>193</v>
      </c>
      <c r="AB193" s="72"/>
      <c r="AC193" s="73"/>
      <c r="AD193" s="88" t="s">
        <v>695</v>
      </c>
      <c r="AE193" s="88" t="s">
        <v>971</v>
      </c>
      <c r="AF193" s="88" t="s">
        <v>1232</v>
      </c>
      <c r="AG193" s="88" t="s">
        <v>1374</v>
      </c>
      <c r="AH193" s="88" t="s">
        <v>1614</v>
      </c>
      <c r="AI193" s="88">
        <v>839359</v>
      </c>
      <c r="AJ193" s="88">
        <v>3088</v>
      </c>
      <c r="AK193" s="88">
        <v>27313</v>
      </c>
      <c r="AL193" s="88">
        <v>803</v>
      </c>
      <c r="AM193" s="88" t="s">
        <v>1705</v>
      </c>
      <c r="AN193" s="100" t="str">
        <f>HYPERLINK("https://www.youtube.com/watch?v=KFOcyKiz9nk")</f>
        <v>https://www.youtube.com/watch?v=KFOcyKiz9nk</v>
      </c>
      <c r="AO193" s="88" t="str">
        <f>REPLACE(INDEX(GroupVertices[Group],MATCH(Vertices[[#This Row],[Vertex]],GroupVertices[Vertex],0)),1,1,"")</f>
        <v>9</v>
      </c>
      <c r="AP193" s="48">
        <v>0</v>
      </c>
      <c r="AQ193" s="49">
        <v>0</v>
      </c>
      <c r="AR193" s="48">
        <v>11</v>
      </c>
      <c r="AS193" s="49">
        <v>33.333333333333336</v>
      </c>
      <c r="AT193" s="48">
        <v>0</v>
      </c>
      <c r="AU193" s="49">
        <v>0</v>
      </c>
      <c r="AV193" s="48">
        <v>22</v>
      </c>
      <c r="AW193" s="49">
        <v>66.66666666666667</v>
      </c>
      <c r="AX193" s="48">
        <v>33</v>
      </c>
      <c r="AY193" s="48"/>
      <c r="AZ193" s="48"/>
      <c r="BA193" s="48"/>
      <c r="BB193" s="48"/>
      <c r="BC193" s="2"/>
      <c r="BD193" s="3"/>
      <c r="BE193" s="3"/>
      <c r="BF193" s="3"/>
      <c r="BG193" s="3"/>
    </row>
    <row r="194" spans="1:59" ht="15">
      <c r="A194" s="65" t="s">
        <v>408</v>
      </c>
      <c r="B194" s="66"/>
      <c r="C194" s="66"/>
      <c r="D194" s="67">
        <v>205.8710080564593</v>
      </c>
      <c r="E194" s="69"/>
      <c r="F194" s="98" t="str">
        <f>HYPERLINK("https://i.ytimg.com/vi/nWbbK9poArQ/default.jpg")</f>
        <v>https://i.ytimg.com/vi/nWbbK9poArQ/default.jpg</v>
      </c>
      <c r="G194" s="66"/>
      <c r="H194" s="70" t="s">
        <v>696</v>
      </c>
      <c r="I194" s="71"/>
      <c r="J194" s="71" t="s">
        <v>159</v>
      </c>
      <c r="K194" s="70" t="s">
        <v>696</v>
      </c>
      <c r="L194" s="74">
        <v>909.9090909090909</v>
      </c>
      <c r="M194" s="75">
        <v>6183.51806640625</v>
      </c>
      <c r="N194" s="75">
        <v>4819.24951171875</v>
      </c>
      <c r="O194" s="76"/>
      <c r="P194" s="77"/>
      <c r="Q194" s="77"/>
      <c r="R194" s="91"/>
      <c r="S194" s="48">
        <v>1</v>
      </c>
      <c r="T194" s="48">
        <v>0</v>
      </c>
      <c r="U194" s="49">
        <v>0</v>
      </c>
      <c r="V194" s="49">
        <v>0.000764</v>
      </c>
      <c r="W194" s="49">
        <v>0.000747</v>
      </c>
      <c r="X194" s="49">
        <v>0.505548</v>
      </c>
      <c r="Y194" s="49">
        <v>0</v>
      </c>
      <c r="Z194" s="49">
        <v>0</v>
      </c>
      <c r="AA194" s="72">
        <v>194</v>
      </c>
      <c r="AB194" s="72"/>
      <c r="AC194" s="73"/>
      <c r="AD194" s="88" t="s">
        <v>696</v>
      </c>
      <c r="AE194" s="88" t="s">
        <v>972</v>
      </c>
      <c r="AF194" s="88" t="s">
        <v>1233</v>
      </c>
      <c r="AG194" s="88" t="s">
        <v>1374</v>
      </c>
      <c r="AH194" s="88" t="s">
        <v>1615</v>
      </c>
      <c r="AI194" s="88">
        <v>1161394</v>
      </c>
      <c r="AJ194" s="88">
        <v>3560</v>
      </c>
      <c r="AK194" s="88">
        <v>25931</v>
      </c>
      <c r="AL194" s="88">
        <v>896</v>
      </c>
      <c r="AM194" s="88" t="s">
        <v>1705</v>
      </c>
      <c r="AN194" s="100" t="str">
        <f>HYPERLINK("https://www.youtube.com/watch?v=nWbbK9poArQ")</f>
        <v>https://www.youtube.com/watch?v=nWbbK9poArQ</v>
      </c>
      <c r="AO194" s="88" t="str">
        <f>REPLACE(INDEX(GroupVertices[Group],MATCH(Vertices[[#This Row],[Vertex]],GroupVertices[Vertex],0)),1,1,"")</f>
        <v>9</v>
      </c>
      <c r="AP194" s="48">
        <v>1</v>
      </c>
      <c r="AQ194" s="49">
        <v>2.5641025641025643</v>
      </c>
      <c r="AR194" s="48">
        <v>7</v>
      </c>
      <c r="AS194" s="49">
        <v>17.94871794871795</v>
      </c>
      <c r="AT194" s="48">
        <v>0</v>
      </c>
      <c r="AU194" s="49">
        <v>0</v>
      </c>
      <c r="AV194" s="48">
        <v>31</v>
      </c>
      <c r="AW194" s="49">
        <v>79.48717948717949</v>
      </c>
      <c r="AX194" s="48">
        <v>39</v>
      </c>
      <c r="AY194" s="48"/>
      <c r="AZ194" s="48"/>
      <c r="BA194" s="48"/>
      <c r="BB194" s="48"/>
      <c r="BC194" s="2"/>
      <c r="BD194" s="3"/>
      <c r="BE194" s="3"/>
      <c r="BF194" s="3"/>
      <c r="BG194" s="3"/>
    </row>
    <row r="195" spans="1:59" ht="15">
      <c r="A195" s="65" t="s">
        <v>409</v>
      </c>
      <c r="B195" s="66"/>
      <c r="C195" s="66"/>
      <c r="D195" s="67">
        <v>407.2515061092617</v>
      </c>
      <c r="E195" s="69"/>
      <c r="F195" s="98" t="str">
        <f>HYPERLINK("https://i.ytimg.com/vi/BusdooE10vQ/default.jpg")</f>
        <v>https://i.ytimg.com/vi/BusdooE10vQ/default.jpg</v>
      </c>
      <c r="G195" s="66"/>
      <c r="H195" s="70" t="s">
        <v>697</v>
      </c>
      <c r="I195" s="71"/>
      <c r="J195" s="71" t="s">
        <v>159</v>
      </c>
      <c r="K195" s="70" t="s">
        <v>697</v>
      </c>
      <c r="L195" s="74">
        <v>909.9090909090909</v>
      </c>
      <c r="M195" s="75">
        <v>7622.9921875</v>
      </c>
      <c r="N195" s="75">
        <v>5813.01904296875</v>
      </c>
      <c r="O195" s="76"/>
      <c r="P195" s="77"/>
      <c r="Q195" s="77"/>
      <c r="R195" s="91"/>
      <c r="S195" s="48">
        <v>1</v>
      </c>
      <c r="T195" s="48">
        <v>0</v>
      </c>
      <c r="U195" s="49">
        <v>0</v>
      </c>
      <c r="V195" s="49">
        <v>0.000764</v>
      </c>
      <c r="W195" s="49">
        <v>0.000747</v>
      </c>
      <c r="X195" s="49">
        <v>0.505548</v>
      </c>
      <c r="Y195" s="49">
        <v>0</v>
      </c>
      <c r="Z195" s="49">
        <v>0</v>
      </c>
      <c r="AA195" s="72">
        <v>195</v>
      </c>
      <c r="AB195" s="72"/>
      <c r="AC195" s="73"/>
      <c r="AD195" s="88" t="s">
        <v>697</v>
      </c>
      <c r="AE195" s="88" t="s">
        <v>973</v>
      </c>
      <c r="AF195" s="88" t="s">
        <v>1234</v>
      </c>
      <c r="AG195" s="88" t="s">
        <v>1374</v>
      </c>
      <c r="AH195" s="88" t="s">
        <v>1616</v>
      </c>
      <c r="AI195" s="88">
        <v>3019369</v>
      </c>
      <c r="AJ195" s="88">
        <v>3923</v>
      </c>
      <c r="AK195" s="88">
        <v>36732</v>
      </c>
      <c r="AL195" s="88">
        <v>3408</v>
      </c>
      <c r="AM195" s="88" t="s">
        <v>1705</v>
      </c>
      <c r="AN195" s="100" t="str">
        <f>HYPERLINK("https://www.youtube.com/watch?v=BusdooE10vQ")</f>
        <v>https://www.youtube.com/watch?v=BusdooE10vQ</v>
      </c>
      <c r="AO195" s="88" t="str">
        <f>REPLACE(INDEX(GroupVertices[Group],MATCH(Vertices[[#This Row],[Vertex]],GroupVertices[Vertex],0)),1,1,"")</f>
        <v>9</v>
      </c>
      <c r="AP195" s="48">
        <v>4</v>
      </c>
      <c r="AQ195" s="49">
        <v>9.523809523809524</v>
      </c>
      <c r="AR195" s="48">
        <v>0</v>
      </c>
      <c r="AS195" s="49">
        <v>0</v>
      </c>
      <c r="AT195" s="48">
        <v>0</v>
      </c>
      <c r="AU195" s="49">
        <v>0</v>
      </c>
      <c r="AV195" s="48">
        <v>38</v>
      </c>
      <c r="AW195" s="49">
        <v>90.47619047619048</v>
      </c>
      <c r="AX195" s="48">
        <v>42</v>
      </c>
      <c r="AY195" s="48"/>
      <c r="AZ195" s="48"/>
      <c r="BA195" s="48"/>
      <c r="BB195" s="48"/>
      <c r="BC195" s="2"/>
      <c r="BD195" s="3"/>
      <c r="BE195" s="3"/>
      <c r="BF195" s="3"/>
      <c r="BG195" s="3"/>
    </row>
    <row r="196" spans="1:59" ht="15">
      <c r="A196" s="65" t="s">
        <v>410</v>
      </c>
      <c r="B196" s="66"/>
      <c r="C196" s="66"/>
      <c r="D196" s="67">
        <v>382.71375347309925</v>
      </c>
      <c r="E196" s="69"/>
      <c r="F196" s="98" t="str">
        <f>HYPERLINK("https://i.ytimg.com/vi/7Ro0dMV5QsY/default.jpg")</f>
        <v>https://i.ytimg.com/vi/7Ro0dMV5QsY/default.jpg</v>
      </c>
      <c r="G196" s="66"/>
      <c r="H196" s="70" t="s">
        <v>698</v>
      </c>
      <c r="I196" s="71"/>
      <c r="J196" s="71" t="s">
        <v>159</v>
      </c>
      <c r="K196" s="70" t="s">
        <v>698</v>
      </c>
      <c r="L196" s="74">
        <v>909.9090909090909</v>
      </c>
      <c r="M196" s="75">
        <v>6515.8916015625</v>
      </c>
      <c r="N196" s="75">
        <v>4018.48876953125</v>
      </c>
      <c r="O196" s="76"/>
      <c r="P196" s="77"/>
      <c r="Q196" s="77"/>
      <c r="R196" s="91"/>
      <c r="S196" s="48">
        <v>1</v>
      </c>
      <c r="T196" s="48">
        <v>0</v>
      </c>
      <c r="U196" s="49">
        <v>0</v>
      </c>
      <c r="V196" s="49">
        <v>0.000764</v>
      </c>
      <c r="W196" s="49">
        <v>0.000747</v>
      </c>
      <c r="X196" s="49">
        <v>0.505548</v>
      </c>
      <c r="Y196" s="49">
        <v>0</v>
      </c>
      <c r="Z196" s="49">
        <v>0</v>
      </c>
      <c r="AA196" s="72">
        <v>196</v>
      </c>
      <c r="AB196" s="72"/>
      <c r="AC196" s="73"/>
      <c r="AD196" s="88" t="s">
        <v>698</v>
      </c>
      <c r="AE196" s="88" t="s">
        <v>974</v>
      </c>
      <c r="AF196" s="88" t="s">
        <v>1235</v>
      </c>
      <c r="AG196" s="88" t="s">
        <v>1374</v>
      </c>
      <c r="AH196" s="88" t="s">
        <v>1617</v>
      </c>
      <c r="AI196" s="88">
        <v>2792979</v>
      </c>
      <c r="AJ196" s="88">
        <v>11729</v>
      </c>
      <c r="AK196" s="88">
        <v>60465</v>
      </c>
      <c r="AL196" s="88">
        <v>3318</v>
      </c>
      <c r="AM196" s="88" t="s">
        <v>1705</v>
      </c>
      <c r="AN196" s="100" t="str">
        <f>HYPERLINK("https://www.youtube.com/watch?v=7Ro0dMV5QsY")</f>
        <v>https://www.youtube.com/watch?v=7Ro0dMV5QsY</v>
      </c>
      <c r="AO196" s="88" t="str">
        <f>REPLACE(INDEX(GroupVertices[Group],MATCH(Vertices[[#This Row],[Vertex]],GroupVertices[Vertex],0)),1,1,"")</f>
        <v>9</v>
      </c>
      <c r="AP196" s="48">
        <v>0</v>
      </c>
      <c r="AQ196" s="49">
        <v>0</v>
      </c>
      <c r="AR196" s="48">
        <v>4</v>
      </c>
      <c r="AS196" s="49">
        <v>10</v>
      </c>
      <c r="AT196" s="48">
        <v>0</v>
      </c>
      <c r="AU196" s="49">
        <v>0</v>
      </c>
      <c r="AV196" s="48">
        <v>36</v>
      </c>
      <c r="AW196" s="49">
        <v>90</v>
      </c>
      <c r="AX196" s="48">
        <v>40</v>
      </c>
      <c r="AY196" s="48"/>
      <c r="AZ196" s="48"/>
      <c r="BA196" s="48"/>
      <c r="BB196" s="48"/>
      <c r="BC196" s="2"/>
      <c r="BD196" s="3"/>
      <c r="BE196" s="3"/>
      <c r="BF196" s="3"/>
      <c r="BG196" s="3"/>
    </row>
    <row r="197" spans="1:59" ht="15">
      <c r="A197" s="65" t="s">
        <v>411</v>
      </c>
      <c r="B197" s="66"/>
      <c r="C197" s="66"/>
      <c r="D197" s="67">
        <v>130.3116600000754</v>
      </c>
      <c r="E197" s="69"/>
      <c r="F197" s="98" t="str">
        <f>HYPERLINK("https://i.ytimg.com/vi/FkMsl9ukjmk/default.jpg")</f>
        <v>https://i.ytimg.com/vi/FkMsl9ukjmk/default.jpg</v>
      </c>
      <c r="G197" s="66"/>
      <c r="H197" s="70" t="s">
        <v>699</v>
      </c>
      <c r="I197" s="71"/>
      <c r="J197" s="71" t="s">
        <v>159</v>
      </c>
      <c r="K197" s="70" t="s">
        <v>699</v>
      </c>
      <c r="L197" s="74">
        <v>909.9090909090909</v>
      </c>
      <c r="M197" s="75">
        <v>7283.93017578125</v>
      </c>
      <c r="N197" s="75">
        <v>5096.76171875</v>
      </c>
      <c r="O197" s="76"/>
      <c r="P197" s="77"/>
      <c r="Q197" s="77"/>
      <c r="R197" s="91"/>
      <c r="S197" s="48">
        <v>1</v>
      </c>
      <c r="T197" s="48">
        <v>0</v>
      </c>
      <c r="U197" s="49">
        <v>0</v>
      </c>
      <c r="V197" s="49">
        <v>0.000764</v>
      </c>
      <c r="W197" s="49">
        <v>0.000747</v>
      </c>
      <c r="X197" s="49">
        <v>0.505548</v>
      </c>
      <c r="Y197" s="49">
        <v>0</v>
      </c>
      <c r="Z197" s="49">
        <v>0</v>
      </c>
      <c r="AA197" s="72">
        <v>197</v>
      </c>
      <c r="AB197" s="72"/>
      <c r="AC197" s="73"/>
      <c r="AD197" s="88" t="s">
        <v>699</v>
      </c>
      <c r="AE197" s="88" t="s">
        <v>975</v>
      </c>
      <c r="AF197" s="88" t="s">
        <v>1236</v>
      </c>
      <c r="AG197" s="88" t="s">
        <v>1374</v>
      </c>
      <c r="AH197" s="88" t="s">
        <v>1618</v>
      </c>
      <c r="AI197" s="88">
        <v>464269</v>
      </c>
      <c r="AJ197" s="88">
        <v>950</v>
      </c>
      <c r="AK197" s="88">
        <v>13165</v>
      </c>
      <c r="AL197" s="88">
        <v>187</v>
      </c>
      <c r="AM197" s="88" t="s">
        <v>1705</v>
      </c>
      <c r="AN197" s="100" t="str">
        <f>HYPERLINK("https://www.youtube.com/watch?v=FkMsl9ukjmk")</f>
        <v>https://www.youtube.com/watch?v=FkMsl9ukjmk</v>
      </c>
      <c r="AO197" s="88" t="str">
        <f>REPLACE(INDEX(GroupVertices[Group],MATCH(Vertices[[#This Row],[Vertex]],GroupVertices[Vertex],0)),1,1,"")</f>
        <v>9</v>
      </c>
      <c r="AP197" s="48">
        <v>0</v>
      </c>
      <c r="AQ197" s="49">
        <v>0</v>
      </c>
      <c r="AR197" s="48">
        <v>6</v>
      </c>
      <c r="AS197" s="49">
        <v>37.5</v>
      </c>
      <c r="AT197" s="48">
        <v>0</v>
      </c>
      <c r="AU197" s="49">
        <v>0</v>
      </c>
      <c r="AV197" s="48">
        <v>10</v>
      </c>
      <c r="AW197" s="49">
        <v>62.5</v>
      </c>
      <c r="AX197" s="48">
        <v>16</v>
      </c>
      <c r="AY197" s="48"/>
      <c r="AZ197" s="48"/>
      <c r="BA197" s="48"/>
      <c r="BB197" s="48"/>
      <c r="BC197" s="2"/>
      <c r="BD197" s="3"/>
      <c r="BE197" s="3"/>
      <c r="BF197" s="3"/>
      <c r="BG197" s="3"/>
    </row>
    <row r="198" spans="1:59" ht="15">
      <c r="A198" s="65" t="s">
        <v>412</v>
      </c>
      <c r="B198" s="66"/>
      <c r="C198" s="66"/>
      <c r="D198" s="67">
        <v>272.5388214270904</v>
      </c>
      <c r="E198" s="69"/>
      <c r="F198" s="98" t="str">
        <f>HYPERLINK("https://i.ytimg.com/vi/Qi0edf_nJDo/default.jpg")</f>
        <v>https://i.ytimg.com/vi/Qi0edf_nJDo/default.jpg</v>
      </c>
      <c r="G198" s="66"/>
      <c r="H198" s="70" t="s">
        <v>700</v>
      </c>
      <c r="I198" s="71"/>
      <c r="J198" s="71" t="s">
        <v>159</v>
      </c>
      <c r="K198" s="70" t="s">
        <v>700</v>
      </c>
      <c r="L198" s="74">
        <v>909.9090909090909</v>
      </c>
      <c r="M198" s="75">
        <v>6728.16357421875</v>
      </c>
      <c r="N198" s="75">
        <v>3265.5693359375</v>
      </c>
      <c r="O198" s="76"/>
      <c r="P198" s="77"/>
      <c r="Q198" s="77"/>
      <c r="R198" s="91"/>
      <c r="S198" s="48">
        <v>1</v>
      </c>
      <c r="T198" s="48">
        <v>0</v>
      </c>
      <c r="U198" s="49">
        <v>0</v>
      </c>
      <c r="V198" s="49">
        <v>0.000764</v>
      </c>
      <c r="W198" s="49">
        <v>0.000747</v>
      </c>
      <c r="X198" s="49">
        <v>0.505548</v>
      </c>
      <c r="Y198" s="49">
        <v>0</v>
      </c>
      <c r="Z198" s="49">
        <v>0</v>
      </c>
      <c r="AA198" s="72">
        <v>198</v>
      </c>
      <c r="AB198" s="72"/>
      <c r="AC198" s="73"/>
      <c r="AD198" s="88" t="s">
        <v>700</v>
      </c>
      <c r="AE198" s="88" t="s">
        <v>976</v>
      </c>
      <c r="AF198" s="88" t="s">
        <v>1237</v>
      </c>
      <c r="AG198" s="88" t="s">
        <v>1386</v>
      </c>
      <c r="AH198" s="88" t="s">
        <v>1619</v>
      </c>
      <c r="AI198" s="88">
        <v>1776484</v>
      </c>
      <c r="AJ198" s="88">
        <v>5532</v>
      </c>
      <c r="AK198" s="88">
        <v>79249</v>
      </c>
      <c r="AL198" s="88">
        <v>1641</v>
      </c>
      <c r="AM198" s="88" t="s">
        <v>1705</v>
      </c>
      <c r="AN198" s="100" t="str">
        <f>HYPERLINK("https://www.youtube.com/watch?v=Qi0edf_nJDo")</f>
        <v>https://www.youtube.com/watch?v=Qi0edf_nJDo</v>
      </c>
      <c r="AO198" s="88" t="str">
        <f>REPLACE(INDEX(GroupVertices[Group],MATCH(Vertices[[#This Row],[Vertex]],GroupVertices[Vertex],0)),1,1,"")</f>
        <v>9</v>
      </c>
      <c r="AP198" s="48">
        <v>0</v>
      </c>
      <c r="AQ198" s="49">
        <v>0</v>
      </c>
      <c r="AR198" s="48">
        <v>6</v>
      </c>
      <c r="AS198" s="49">
        <v>10.909090909090908</v>
      </c>
      <c r="AT198" s="48">
        <v>0</v>
      </c>
      <c r="AU198" s="49">
        <v>0</v>
      </c>
      <c r="AV198" s="48">
        <v>49</v>
      </c>
      <c r="AW198" s="49">
        <v>89.0909090909091</v>
      </c>
      <c r="AX198" s="48">
        <v>55</v>
      </c>
      <c r="AY198" s="48"/>
      <c r="AZ198" s="48"/>
      <c r="BA198" s="48"/>
      <c r="BB198" s="48"/>
      <c r="BC198" s="2"/>
      <c r="BD198" s="3"/>
      <c r="BE198" s="3"/>
      <c r="BF198" s="3"/>
      <c r="BG198" s="3"/>
    </row>
    <row r="199" spans="1:59" ht="15">
      <c r="A199" s="65" t="s">
        <v>413</v>
      </c>
      <c r="B199" s="66"/>
      <c r="C199" s="66"/>
      <c r="D199" s="67">
        <v>245.4291516024324</v>
      </c>
      <c r="E199" s="69"/>
      <c r="F199" s="98" t="str">
        <f>HYPERLINK("https://i.ytimg.com/vi/OwbD5Bn96TI/default.jpg")</f>
        <v>https://i.ytimg.com/vi/OwbD5Bn96TI/default.jpg</v>
      </c>
      <c r="G199" s="66"/>
      <c r="H199" s="70" t="s">
        <v>701</v>
      </c>
      <c r="I199" s="71"/>
      <c r="J199" s="71" t="s">
        <v>159</v>
      </c>
      <c r="K199" s="70" t="s">
        <v>701</v>
      </c>
      <c r="L199" s="74">
        <v>909.9090909090909</v>
      </c>
      <c r="M199" s="75">
        <v>7769.92333984375</v>
      </c>
      <c r="N199" s="75">
        <v>5172.45849609375</v>
      </c>
      <c r="O199" s="76"/>
      <c r="P199" s="77"/>
      <c r="Q199" s="77"/>
      <c r="R199" s="91"/>
      <c r="S199" s="48">
        <v>1</v>
      </c>
      <c r="T199" s="48">
        <v>0</v>
      </c>
      <c r="U199" s="49">
        <v>0</v>
      </c>
      <c r="V199" s="49">
        <v>0.000764</v>
      </c>
      <c r="W199" s="49">
        <v>0.000747</v>
      </c>
      <c r="X199" s="49">
        <v>0.505548</v>
      </c>
      <c r="Y199" s="49">
        <v>0</v>
      </c>
      <c r="Z199" s="49">
        <v>0</v>
      </c>
      <c r="AA199" s="72">
        <v>199</v>
      </c>
      <c r="AB199" s="72"/>
      <c r="AC199" s="73"/>
      <c r="AD199" s="88" t="s">
        <v>701</v>
      </c>
      <c r="AE199" s="88" t="s">
        <v>977</v>
      </c>
      <c r="AF199" s="88" t="s">
        <v>1238</v>
      </c>
      <c r="AG199" s="88" t="s">
        <v>1374</v>
      </c>
      <c r="AH199" s="88" t="s">
        <v>1620</v>
      </c>
      <c r="AI199" s="88">
        <v>1526365</v>
      </c>
      <c r="AJ199" s="88">
        <v>2759</v>
      </c>
      <c r="AK199" s="88">
        <v>48785</v>
      </c>
      <c r="AL199" s="88">
        <v>641</v>
      </c>
      <c r="AM199" s="88" t="s">
        <v>1705</v>
      </c>
      <c r="AN199" s="100" t="str">
        <f>HYPERLINK("https://www.youtube.com/watch?v=OwbD5Bn96TI")</f>
        <v>https://www.youtube.com/watch?v=OwbD5Bn96TI</v>
      </c>
      <c r="AO199" s="88" t="str">
        <f>REPLACE(INDEX(GroupVertices[Group],MATCH(Vertices[[#This Row],[Vertex]],GroupVertices[Vertex],0)),1,1,"")</f>
        <v>9</v>
      </c>
      <c r="AP199" s="48">
        <v>4</v>
      </c>
      <c r="AQ199" s="49">
        <v>9.75609756097561</v>
      </c>
      <c r="AR199" s="48">
        <v>1</v>
      </c>
      <c r="AS199" s="49">
        <v>2.4390243902439024</v>
      </c>
      <c r="AT199" s="48">
        <v>0</v>
      </c>
      <c r="AU199" s="49">
        <v>0</v>
      </c>
      <c r="AV199" s="48">
        <v>36</v>
      </c>
      <c r="AW199" s="49">
        <v>87.8048780487805</v>
      </c>
      <c r="AX199" s="48">
        <v>41</v>
      </c>
      <c r="AY199" s="48"/>
      <c r="AZ199" s="48"/>
      <c r="BA199" s="48"/>
      <c r="BB199" s="48"/>
      <c r="BC199" s="2"/>
      <c r="BD199" s="3"/>
      <c r="BE199" s="3"/>
      <c r="BF199" s="3"/>
      <c r="BG199" s="3"/>
    </row>
    <row r="200" spans="1:59" ht="15">
      <c r="A200" s="65" t="s">
        <v>414</v>
      </c>
      <c r="B200" s="66"/>
      <c r="C200" s="66"/>
      <c r="D200" s="67">
        <v>121.12509566338552</v>
      </c>
      <c r="E200" s="69"/>
      <c r="F200" s="98" t="str">
        <f>HYPERLINK("https://i.ytimg.com/vi/zeOatw-yjqw/default.jpg")</f>
        <v>https://i.ytimg.com/vi/zeOatw-yjqw/default.jpg</v>
      </c>
      <c r="G200" s="66"/>
      <c r="H200" s="70" t="s">
        <v>702</v>
      </c>
      <c r="I200" s="71"/>
      <c r="J200" s="71" t="s">
        <v>159</v>
      </c>
      <c r="K200" s="70" t="s">
        <v>702</v>
      </c>
      <c r="L200" s="74">
        <v>909.9090909090909</v>
      </c>
      <c r="M200" s="75">
        <v>7084.57861328125</v>
      </c>
      <c r="N200" s="75">
        <v>6526.18798828125</v>
      </c>
      <c r="O200" s="76"/>
      <c r="P200" s="77"/>
      <c r="Q200" s="77"/>
      <c r="R200" s="91"/>
      <c r="S200" s="48">
        <v>1</v>
      </c>
      <c r="T200" s="48">
        <v>0</v>
      </c>
      <c r="U200" s="49">
        <v>0</v>
      </c>
      <c r="V200" s="49">
        <v>0.000764</v>
      </c>
      <c r="W200" s="49">
        <v>0.000747</v>
      </c>
      <c r="X200" s="49">
        <v>0.505548</v>
      </c>
      <c r="Y200" s="49">
        <v>0</v>
      </c>
      <c r="Z200" s="49">
        <v>0</v>
      </c>
      <c r="AA200" s="72">
        <v>200</v>
      </c>
      <c r="AB200" s="72"/>
      <c r="AC200" s="73"/>
      <c r="AD200" s="88" t="s">
        <v>702</v>
      </c>
      <c r="AE200" s="88" t="s">
        <v>978</v>
      </c>
      <c r="AF200" s="88" t="s">
        <v>1239</v>
      </c>
      <c r="AG200" s="88" t="s">
        <v>1374</v>
      </c>
      <c r="AH200" s="88" t="s">
        <v>1621</v>
      </c>
      <c r="AI200" s="88">
        <v>379512</v>
      </c>
      <c r="AJ200" s="88">
        <v>919</v>
      </c>
      <c r="AK200" s="88">
        <v>9851</v>
      </c>
      <c r="AL200" s="88">
        <v>262</v>
      </c>
      <c r="AM200" s="88" t="s">
        <v>1705</v>
      </c>
      <c r="AN200" s="100" t="str">
        <f>HYPERLINK("https://www.youtube.com/watch?v=zeOatw-yjqw")</f>
        <v>https://www.youtube.com/watch?v=zeOatw-yjqw</v>
      </c>
      <c r="AO200" s="88" t="str">
        <f>REPLACE(INDEX(GroupVertices[Group],MATCH(Vertices[[#This Row],[Vertex]],GroupVertices[Vertex],0)),1,1,"")</f>
        <v>9</v>
      </c>
      <c r="AP200" s="48">
        <v>0</v>
      </c>
      <c r="AQ200" s="49">
        <v>0</v>
      </c>
      <c r="AR200" s="48">
        <v>12</v>
      </c>
      <c r="AS200" s="49">
        <v>25</v>
      </c>
      <c r="AT200" s="48">
        <v>0</v>
      </c>
      <c r="AU200" s="49">
        <v>0</v>
      </c>
      <c r="AV200" s="48">
        <v>36</v>
      </c>
      <c r="AW200" s="49">
        <v>75</v>
      </c>
      <c r="AX200" s="48">
        <v>48</v>
      </c>
      <c r="AY200" s="48"/>
      <c r="AZ200" s="48"/>
      <c r="BA200" s="48"/>
      <c r="BB200" s="48"/>
      <c r="BC200" s="2"/>
      <c r="BD200" s="3"/>
      <c r="BE200" s="3"/>
      <c r="BF200" s="3"/>
      <c r="BG200" s="3"/>
    </row>
    <row r="201" spans="1:59" ht="15">
      <c r="A201" s="65" t="s">
        <v>415</v>
      </c>
      <c r="B201" s="66"/>
      <c r="C201" s="66"/>
      <c r="D201" s="67">
        <v>122.77702325704139</v>
      </c>
      <c r="E201" s="69"/>
      <c r="F201" s="98" t="str">
        <f>HYPERLINK("https://i.ytimg.com/vi/lK_b-aMLa9g/default.jpg")</f>
        <v>https://i.ytimg.com/vi/lK_b-aMLa9g/default.jpg</v>
      </c>
      <c r="G201" s="66"/>
      <c r="H201" s="70" t="s">
        <v>703</v>
      </c>
      <c r="I201" s="71"/>
      <c r="J201" s="71" t="s">
        <v>159</v>
      </c>
      <c r="K201" s="70" t="s">
        <v>703</v>
      </c>
      <c r="L201" s="74">
        <v>909.9090909090909</v>
      </c>
      <c r="M201" s="75">
        <v>6254.3583984375</v>
      </c>
      <c r="N201" s="75">
        <v>3505.34033203125</v>
      </c>
      <c r="O201" s="76"/>
      <c r="P201" s="77"/>
      <c r="Q201" s="77"/>
      <c r="R201" s="91"/>
      <c r="S201" s="48">
        <v>1</v>
      </c>
      <c r="T201" s="48">
        <v>0</v>
      </c>
      <c r="U201" s="49">
        <v>0</v>
      </c>
      <c r="V201" s="49">
        <v>0.000764</v>
      </c>
      <c r="W201" s="49">
        <v>0.000747</v>
      </c>
      <c r="X201" s="49">
        <v>0.505548</v>
      </c>
      <c r="Y201" s="49">
        <v>0</v>
      </c>
      <c r="Z201" s="49">
        <v>0</v>
      </c>
      <c r="AA201" s="72">
        <v>201</v>
      </c>
      <c r="AB201" s="72"/>
      <c r="AC201" s="73"/>
      <c r="AD201" s="88" t="s">
        <v>703</v>
      </c>
      <c r="AE201" s="88" t="s">
        <v>979</v>
      </c>
      <c r="AF201" s="88" t="s">
        <v>1240</v>
      </c>
      <c r="AG201" s="88" t="s">
        <v>1374</v>
      </c>
      <c r="AH201" s="88" t="s">
        <v>1622</v>
      </c>
      <c r="AI201" s="88">
        <v>394753</v>
      </c>
      <c r="AJ201" s="88">
        <v>900</v>
      </c>
      <c r="AK201" s="88">
        <v>12246</v>
      </c>
      <c r="AL201" s="88">
        <v>261</v>
      </c>
      <c r="AM201" s="88" t="s">
        <v>1705</v>
      </c>
      <c r="AN201" s="100" t="str">
        <f>HYPERLINK("https://www.youtube.com/watch?v=lK_b-aMLa9g")</f>
        <v>https://www.youtube.com/watch?v=lK_b-aMLa9g</v>
      </c>
      <c r="AO201" s="88" t="str">
        <f>REPLACE(INDEX(GroupVertices[Group],MATCH(Vertices[[#This Row],[Vertex]],GroupVertices[Vertex],0)),1,1,"")</f>
        <v>9</v>
      </c>
      <c r="AP201" s="48">
        <v>4</v>
      </c>
      <c r="AQ201" s="49">
        <v>8.695652173913043</v>
      </c>
      <c r="AR201" s="48">
        <v>1</v>
      </c>
      <c r="AS201" s="49">
        <v>2.1739130434782608</v>
      </c>
      <c r="AT201" s="48">
        <v>0</v>
      </c>
      <c r="AU201" s="49">
        <v>0</v>
      </c>
      <c r="AV201" s="48">
        <v>41</v>
      </c>
      <c r="AW201" s="49">
        <v>89.1304347826087</v>
      </c>
      <c r="AX201" s="48">
        <v>46</v>
      </c>
      <c r="AY201" s="48"/>
      <c r="AZ201" s="48"/>
      <c r="BA201" s="48"/>
      <c r="BB201" s="48"/>
      <c r="BC201" s="2"/>
      <c r="BD201" s="3"/>
      <c r="BE201" s="3"/>
      <c r="BF201" s="3"/>
      <c r="BG201" s="3"/>
    </row>
    <row r="202" spans="1:59" ht="15">
      <c r="A202" s="65" t="s">
        <v>416</v>
      </c>
      <c r="B202" s="66"/>
      <c r="C202" s="66"/>
      <c r="D202" s="67">
        <v>155.31894549731766</v>
      </c>
      <c r="E202" s="69"/>
      <c r="F202" s="98" t="str">
        <f>HYPERLINK("https://i.ytimg.com/vi/Ix6vtM4gP8g/default.jpg")</f>
        <v>https://i.ytimg.com/vi/Ix6vtM4gP8g/default.jpg</v>
      </c>
      <c r="G202" s="66"/>
      <c r="H202" s="70" t="s">
        <v>704</v>
      </c>
      <c r="I202" s="71"/>
      <c r="J202" s="71" t="s">
        <v>159</v>
      </c>
      <c r="K202" s="70" t="s">
        <v>704</v>
      </c>
      <c r="L202" s="74">
        <v>909.9090909090909</v>
      </c>
      <c r="M202" s="75">
        <v>7195.8916015625</v>
      </c>
      <c r="N202" s="75">
        <v>3400.694091796875</v>
      </c>
      <c r="O202" s="76"/>
      <c r="P202" s="77"/>
      <c r="Q202" s="77"/>
      <c r="R202" s="91"/>
      <c r="S202" s="48">
        <v>1</v>
      </c>
      <c r="T202" s="48">
        <v>0</v>
      </c>
      <c r="U202" s="49">
        <v>0</v>
      </c>
      <c r="V202" s="49">
        <v>0.000764</v>
      </c>
      <c r="W202" s="49">
        <v>0.000747</v>
      </c>
      <c r="X202" s="49">
        <v>0.505548</v>
      </c>
      <c r="Y202" s="49">
        <v>0</v>
      </c>
      <c r="Z202" s="49">
        <v>0</v>
      </c>
      <c r="AA202" s="72">
        <v>202</v>
      </c>
      <c r="AB202" s="72"/>
      <c r="AC202" s="73"/>
      <c r="AD202" s="88" t="s">
        <v>704</v>
      </c>
      <c r="AE202" s="88" t="s">
        <v>980</v>
      </c>
      <c r="AF202" s="88" t="s">
        <v>1241</v>
      </c>
      <c r="AG202" s="88" t="s">
        <v>1374</v>
      </c>
      <c r="AH202" s="88" t="s">
        <v>1623</v>
      </c>
      <c r="AI202" s="88">
        <v>694991</v>
      </c>
      <c r="AJ202" s="88">
        <v>2893</v>
      </c>
      <c r="AK202" s="88">
        <v>24673</v>
      </c>
      <c r="AL202" s="88">
        <v>879</v>
      </c>
      <c r="AM202" s="88" t="s">
        <v>1705</v>
      </c>
      <c r="AN202" s="100" t="str">
        <f>HYPERLINK("https://www.youtube.com/watch?v=Ix6vtM4gP8g")</f>
        <v>https://www.youtube.com/watch?v=Ix6vtM4gP8g</v>
      </c>
      <c r="AO202" s="88" t="str">
        <f>REPLACE(INDEX(GroupVertices[Group],MATCH(Vertices[[#This Row],[Vertex]],GroupVertices[Vertex],0)),1,1,"")</f>
        <v>9</v>
      </c>
      <c r="AP202" s="48">
        <v>1</v>
      </c>
      <c r="AQ202" s="49">
        <v>2.127659574468085</v>
      </c>
      <c r="AR202" s="48">
        <v>6</v>
      </c>
      <c r="AS202" s="49">
        <v>12.76595744680851</v>
      </c>
      <c r="AT202" s="48">
        <v>0</v>
      </c>
      <c r="AU202" s="49">
        <v>0</v>
      </c>
      <c r="AV202" s="48">
        <v>40</v>
      </c>
      <c r="AW202" s="49">
        <v>85.1063829787234</v>
      </c>
      <c r="AX202" s="48">
        <v>47</v>
      </c>
      <c r="AY202" s="48"/>
      <c r="AZ202" s="48"/>
      <c r="BA202" s="48"/>
      <c r="BB202" s="48"/>
      <c r="BC202" s="2"/>
      <c r="BD202" s="3"/>
      <c r="BE202" s="3"/>
      <c r="BF202" s="3"/>
      <c r="BG202" s="3"/>
    </row>
    <row r="203" spans="1:59" ht="15">
      <c r="A203" s="65" t="s">
        <v>417</v>
      </c>
      <c r="B203" s="66"/>
      <c r="C203" s="66"/>
      <c r="D203" s="67">
        <v>181.14834704979774</v>
      </c>
      <c r="E203" s="69"/>
      <c r="F203" s="98" t="str">
        <f>HYPERLINK("https://i.ytimg.com/vi/GaQXzNQbH0U/default.jpg")</f>
        <v>https://i.ytimg.com/vi/GaQXzNQbH0U/default.jpg</v>
      </c>
      <c r="G203" s="66"/>
      <c r="H203" s="70" t="s">
        <v>705</v>
      </c>
      <c r="I203" s="71"/>
      <c r="J203" s="71" t="s">
        <v>159</v>
      </c>
      <c r="K203" s="70" t="s">
        <v>705</v>
      </c>
      <c r="L203" s="74">
        <v>909.9090909090909</v>
      </c>
      <c r="M203" s="75">
        <v>5850.6962890625</v>
      </c>
      <c r="N203" s="75">
        <v>5484.1337890625</v>
      </c>
      <c r="O203" s="76"/>
      <c r="P203" s="77"/>
      <c r="Q203" s="77"/>
      <c r="R203" s="91"/>
      <c r="S203" s="48">
        <v>1</v>
      </c>
      <c r="T203" s="48">
        <v>0</v>
      </c>
      <c r="U203" s="49">
        <v>0</v>
      </c>
      <c r="V203" s="49">
        <v>0.000764</v>
      </c>
      <c r="W203" s="49">
        <v>0.000747</v>
      </c>
      <c r="X203" s="49">
        <v>0.505548</v>
      </c>
      <c r="Y203" s="49">
        <v>0</v>
      </c>
      <c r="Z203" s="49">
        <v>0</v>
      </c>
      <c r="AA203" s="72">
        <v>203</v>
      </c>
      <c r="AB203" s="72"/>
      <c r="AC203" s="73"/>
      <c r="AD203" s="88" t="s">
        <v>705</v>
      </c>
      <c r="AE203" s="88" t="s">
        <v>981</v>
      </c>
      <c r="AF203" s="88" t="s">
        <v>1242</v>
      </c>
      <c r="AG203" s="88" t="s">
        <v>1387</v>
      </c>
      <c r="AH203" s="88" t="s">
        <v>1624</v>
      </c>
      <c r="AI203" s="88">
        <v>933298</v>
      </c>
      <c r="AJ203" s="88">
        <v>10730</v>
      </c>
      <c r="AK203" s="88">
        <v>81278</v>
      </c>
      <c r="AL203" s="88">
        <v>1162</v>
      </c>
      <c r="AM203" s="88" t="s">
        <v>1705</v>
      </c>
      <c r="AN203" s="100" t="str">
        <f>HYPERLINK("https://www.youtube.com/watch?v=GaQXzNQbH0U")</f>
        <v>https://www.youtube.com/watch?v=GaQXzNQbH0U</v>
      </c>
      <c r="AO203" s="88" t="str">
        <f>REPLACE(INDEX(GroupVertices[Group],MATCH(Vertices[[#This Row],[Vertex]],GroupVertices[Vertex],0)),1,1,"")</f>
        <v>9</v>
      </c>
      <c r="AP203" s="48">
        <v>0</v>
      </c>
      <c r="AQ203" s="49">
        <v>0</v>
      </c>
      <c r="AR203" s="48">
        <v>4</v>
      </c>
      <c r="AS203" s="49">
        <v>6.451612903225806</v>
      </c>
      <c r="AT203" s="48">
        <v>0</v>
      </c>
      <c r="AU203" s="49">
        <v>0</v>
      </c>
      <c r="AV203" s="48">
        <v>58</v>
      </c>
      <c r="AW203" s="49">
        <v>93.54838709677419</v>
      </c>
      <c r="AX203" s="48">
        <v>62</v>
      </c>
      <c r="AY203" s="48"/>
      <c r="AZ203" s="48"/>
      <c r="BA203" s="48"/>
      <c r="BB203" s="48"/>
      <c r="BC203" s="2"/>
      <c r="BD203" s="3"/>
      <c r="BE203" s="3"/>
      <c r="BF203" s="3"/>
      <c r="BG203" s="3"/>
    </row>
    <row r="204" spans="1:59" ht="15">
      <c r="A204" s="65" t="s">
        <v>418</v>
      </c>
      <c r="B204" s="66"/>
      <c r="C204" s="66"/>
      <c r="D204" s="67">
        <v>132.76261719942846</v>
      </c>
      <c r="E204" s="69"/>
      <c r="F204" s="98" t="str">
        <f>HYPERLINK("https://i.ytimg.com/vi/ugFyXkPw6Zw/default.jpg")</f>
        <v>https://i.ytimg.com/vi/ugFyXkPw6Zw/default.jpg</v>
      </c>
      <c r="G204" s="66"/>
      <c r="H204" s="70" t="s">
        <v>706</v>
      </c>
      <c r="I204" s="71"/>
      <c r="J204" s="71" t="s">
        <v>159</v>
      </c>
      <c r="K204" s="70" t="s">
        <v>706</v>
      </c>
      <c r="L204" s="74">
        <v>909.9090909090909</v>
      </c>
      <c r="M204" s="75">
        <v>6032.4892578125</v>
      </c>
      <c r="N204" s="75">
        <v>6048.82421875</v>
      </c>
      <c r="O204" s="76"/>
      <c r="P204" s="77"/>
      <c r="Q204" s="77"/>
      <c r="R204" s="91"/>
      <c r="S204" s="48">
        <v>1</v>
      </c>
      <c r="T204" s="48">
        <v>0</v>
      </c>
      <c r="U204" s="49">
        <v>0</v>
      </c>
      <c r="V204" s="49">
        <v>0.000764</v>
      </c>
      <c r="W204" s="49">
        <v>0.000747</v>
      </c>
      <c r="X204" s="49">
        <v>0.505548</v>
      </c>
      <c r="Y204" s="49">
        <v>0</v>
      </c>
      <c r="Z204" s="49">
        <v>0</v>
      </c>
      <c r="AA204" s="72">
        <v>204</v>
      </c>
      <c r="AB204" s="72"/>
      <c r="AC204" s="73"/>
      <c r="AD204" s="88" t="s">
        <v>706</v>
      </c>
      <c r="AE204" s="88" t="s">
        <v>982</v>
      </c>
      <c r="AF204" s="88" t="s">
        <v>1243</v>
      </c>
      <c r="AG204" s="88" t="s">
        <v>1374</v>
      </c>
      <c r="AH204" s="88" t="s">
        <v>1625</v>
      </c>
      <c r="AI204" s="88">
        <v>486882</v>
      </c>
      <c r="AJ204" s="88">
        <v>1829</v>
      </c>
      <c r="AK204" s="88">
        <v>16431</v>
      </c>
      <c r="AL204" s="88">
        <v>458</v>
      </c>
      <c r="AM204" s="88" t="s">
        <v>1705</v>
      </c>
      <c r="AN204" s="100" t="str">
        <f>HYPERLINK("https://www.youtube.com/watch?v=ugFyXkPw6Zw")</f>
        <v>https://www.youtube.com/watch?v=ugFyXkPw6Zw</v>
      </c>
      <c r="AO204" s="88" t="str">
        <f>REPLACE(INDEX(GroupVertices[Group],MATCH(Vertices[[#This Row],[Vertex]],GroupVertices[Vertex],0)),1,1,"")</f>
        <v>9</v>
      </c>
      <c r="AP204" s="48">
        <v>0</v>
      </c>
      <c r="AQ204" s="49">
        <v>0</v>
      </c>
      <c r="AR204" s="48">
        <v>2</v>
      </c>
      <c r="AS204" s="49">
        <v>6.0606060606060606</v>
      </c>
      <c r="AT204" s="48">
        <v>0</v>
      </c>
      <c r="AU204" s="49">
        <v>0</v>
      </c>
      <c r="AV204" s="48">
        <v>31</v>
      </c>
      <c r="AW204" s="49">
        <v>93.93939393939394</v>
      </c>
      <c r="AX204" s="48">
        <v>33</v>
      </c>
      <c r="AY204" s="48"/>
      <c r="AZ204" s="48"/>
      <c r="BA204" s="48"/>
      <c r="BB204" s="48"/>
      <c r="BC204" s="2"/>
      <c r="BD204" s="3"/>
      <c r="BE204" s="3"/>
      <c r="BF204" s="3"/>
      <c r="BG204" s="3"/>
    </row>
    <row r="205" spans="1:59" ht="15">
      <c r="A205" s="65" t="s">
        <v>229</v>
      </c>
      <c r="B205" s="66"/>
      <c r="C205" s="66"/>
      <c r="D205" s="67">
        <v>85.49403305523406</v>
      </c>
      <c r="E205" s="69"/>
      <c r="F205" s="98" t="str">
        <f>HYPERLINK("https://i.ytimg.com/vi/vquaknWJVvA/default.jpg")</f>
        <v>https://i.ytimg.com/vi/vquaknWJVvA/default.jpg</v>
      </c>
      <c r="G205" s="66"/>
      <c r="H205" s="70" t="s">
        <v>707</v>
      </c>
      <c r="I205" s="71"/>
      <c r="J205" s="71" t="s">
        <v>159</v>
      </c>
      <c r="K205" s="70" t="s">
        <v>707</v>
      </c>
      <c r="L205" s="74">
        <v>1</v>
      </c>
      <c r="M205" s="75">
        <v>1022.5170288085938</v>
      </c>
      <c r="N205" s="75">
        <v>7491.47412109375</v>
      </c>
      <c r="O205" s="76"/>
      <c r="P205" s="77"/>
      <c r="Q205" s="77"/>
      <c r="R205" s="91"/>
      <c r="S205" s="48">
        <v>0</v>
      </c>
      <c r="T205" s="48">
        <v>20</v>
      </c>
      <c r="U205" s="49">
        <v>4657.854914</v>
      </c>
      <c r="V205" s="49">
        <v>0.001009</v>
      </c>
      <c r="W205" s="49">
        <v>0.019834</v>
      </c>
      <c r="X205" s="49">
        <v>5.352139</v>
      </c>
      <c r="Y205" s="49">
        <v>0.015789473684210527</v>
      </c>
      <c r="Z205" s="49">
        <v>0</v>
      </c>
      <c r="AA205" s="72">
        <v>205</v>
      </c>
      <c r="AB205" s="72"/>
      <c r="AC205" s="73"/>
      <c r="AD205" s="88" t="s">
        <v>707</v>
      </c>
      <c r="AE205" s="88" t="s">
        <v>983</v>
      </c>
      <c r="AF205" s="88" t="s">
        <v>1244</v>
      </c>
      <c r="AG205" s="88" t="s">
        <v>1388</v>
      </c>
      <c r="AH205" s="88" t="s">
        <v>1626</v>
      </c>
      <c r="AI205" s="88">
        <v>50773</v>
      </c>
      <c r="AJ205" s="88">
        <v>212</v>
      </c>
      <c r="AK205" s="88">
        <v>391</v>
      </c>
      <c r="AL205" s="88">
        <v>235</v>
      </c>
      <c r="AM205" s="88" t="s">
        <v>1705</v>
      </c>
      <c r="AN205" s="100" t="str">
        <f>HYPERLINK("https://www.youtube.com/watch?v=vquaknWJVvA")</f>
        <v>https://www.youtube.com/watch?v=vquaknWJVvA</v>
      </c>
      <c r="AO205" s="88" t="str">
        <f>REPLACE(INDEX(GroupVertices[Group],MATCH(Vertices[[#This Row],[Vertex]],GroupVertices[Vertex],0)),1,1,"")</f>
        <v>1</v>
      </c>
      <c r="AP205" s="48">
        <v>0</v>
      </c>
      <c r="AQ205" s="49">
        <v>0</v>
      </c>
      <c r="AR205" s="48">
        <v>0</v>
      </c>
      <c r="AS205" s="49">
        <v>0</v>
      </c>
      <c r="AT205" s="48">
        <v>0</v>
      </c>
      <c r="AU205" s="49">
        <v>0</v>
      </c>
      <c r="AV205" s="48">
        <v>3</v>
      </c>
      <c r="AW205" s="49">
        <v>100</v>
      </c>
      <c r="AX205" s="48">
        <v>3</v>
      </c>
      <c r="AY205" s="121" t="s">
        <v>2747</v>
      </c>
      <c r="AZ205" s="121" t="s">
        <v>2747</v>
      </c>
      <c r="BA205" s="121" t="s">
        <v>2747</v>
      </c>
      <c r="BB205" s="121" t="s">
        <v>2747</v>
      </c>
      <c r="BC205" s="2"/>
      <c r="BD205" s="3"/>
      <c r="BE205" s="3"/>
      <c r="BF205" s="3"/>
      <c r="BG205" s="3"/>
    </row>
    <row r="206" spans="1:59" ht="15">
      <c r="A206" s="65" t="s">
        <v>419</v>
      </c>
      <c r="B206" s="66"/>
      <c r="C206" s="66"/>
      <c r="D206" s="67">
        <v>138.73745537279504</v>
      </c>
      <c r="E206" s="69"/>
      <c r="F206" s="98" t="str">
        <f>HYPERLINK("https://i.ytimg.com/vi/pcrnIObnQcs/default.jpg")</f>
        <v>https://i.ytimg.com/vi/pcrnIObnQcs/default.jpg</v>
      </c>
      <c r="G206" s="66"/>
      <c r="H206" s="70" t="s">
        <v>708</v>
      </c>
      <c r="I206" s="71"/>
      <c r="J206" s="71" t="s">
        <v>159</v>
      </c>
      <c r="K206" s="70" t="s">
        <v>708</v>
      </c>
      <c r="L206" s="74">
        <v>909.9090909090909</v>
      </c>
      <c r="M206" s="75">
        <v>108.48171997070312</v>
      </c>
      <c r="N206" s="75">
        <v>7088.794921875</v>
      </c>
      <c r="O206" s="76"/>
      <c r="P206" s="77"/>
      <c r="Q206" s="77"/>
      <c r="R206" s="91"/>
      <c r="S206" s="48">
        <v>1</v>
      </c>
      <c r="T206" s="48">
        <v>0</v>
      </c>
      <c r="U206" s="49">
        <v>0</v>
      </c>
      <c r="V206" s="49">
        <v>0.000788</v>
      </c>
      <c r="W206" s="49">
        <v>0.001997</v>
      </c>
      <c r="X206" s="49">
        <v>0.377466</v>
      </c>
      <c r="Y206" s="49">
        <v>0</v>
      </c>
      <c r="Z206" s="49">
        <v>0</v>
      </c>
      <c r="AA206" s="72">
        <v>206</v>
      </c>
      <c r="AB206" s="72"/>
      <c r="AC206" s="73"/>
      <c r="AD206" s="88" t="s">
        <v>708</v>
      </c>
      <c r="AE206" s="88" t="s">
        <v>984</v>
      </c>
      <c r="AF206" s="88" t="s">
        <v>1245</v>
      </c>
      <c r="AG206" s="88" t="s">
        <v>1389</v>
      </c>
      <c r="AH206" s="88" t="s">
        <v>1627</v>
      </c>
      <c r="AI206" s="88">
        <v>542007</v>
      </c>
      <c r="AJ206" s="88">
        <v>296</v>
      </c>
      <c r="AK206" s="88">
        <v>6710</v>
      </c>
      <c r="AL206" s="88">
        <v>549</v>
      </c>
      <c r="AM206" s="88" t="s">
        <v>1705</v>
      </c>
      <c r="AN206" s="100" t="str">
        <f>HYPERLINK("https://www.youtube.com/watch?v=pcrnIObnQcs")</f>
        <v>https://www.youtube.com/watch?v=pcrnIObnQcs</v>
      </c>
      <c r="AO206" s="88" t="str">
        <f>REPLACE(INDEX(GroupVertices[Group],MATCH(Vertices[[#This Row],[Vertex]],GroupVertices[Vertex],0)),1,1,"")</f>
        <v>1</v>
      </c>
      <c r="AP206" s="48">
        <v>0</v>
      </c>
      <c r="AQ206" s="49">
        <v>0</v>
      </c>
      <c r="AR206" s="48">
        <v>0</v>
      </c>
      <c r="AS206" s="49">
        <v>0</v>
      </c>
      <c r="AT206" s="48">
        <v>0</v>
      </c>
      <c r="AU206" s="49">
        <v>0</v>
      </c>
      <c r="AV206" s="48">
        <v>42</v>
      </c>
      <c r="AW206" s="49">
        <v>100</v>
      </c>
      <c r="AX206" s="48">
        <v>42</v>
      </c>
      <c r="AY206" s="48"/>
      <c r="AZ206" s="48"/>
      <c r="BA206" s="48"/>
      <c r="BB206" s="48"/>
      <c r="BC206" s="2"/>
      <c r="BD206" s="3"/>
      <c r="BE206" s="3"/>
      <c r="BF206" s="3"/>
      <c r="BG206" s="3"/>
    </row>
    <row r="207" spans="1:59" ht="15">
      <c r="A207" s="65" t="s">
        <v>420</v>
      </c>
      <c r="B207" s="66"/>
      <c r="C207" s="66"/>
      <c r="D207" s="67">
        <v>93.9016193973301</v>
      </c>
      <c r="E207" s="69"/>
      <c r="F207" s="98" t="str">
        <f>HYPERLINK("https://i.ytimg.com/vi/jrwSo9ZDZEg/default.jpg")</f>
        <v>https://i.ytimg.com/vi/jrwSo9ZDZEg/default.jpg</v>
      </c>
      <c r="G207" s="66"/>
      <c r="H207" s="70" t="s">
        <v>709</v>
      </c>
      <c r="I207" s="71"/>
      <c r="J207" s="71" t="s">
        <v>159</v>
      </c>
      <c r="K207" s="70" t="s">
        <v>709</v>
      </c>
      <c r="L207" s="74">
        <v>909.9090909090909</v>
      </c>
      <c r="M207" s="75">
        <v>356.9239501953125</v>
      </c>
      <c r="N207" s="75">
        <v>7408.95947265625</v>
      </c>
      <c r="O207" s="76"/>
      <c r="P207" s="77"/>
      <c r="Q207" s="77"/>
      <c r="R207" s="91"/>
      <c r="S207" s="48">
        <v>1</v>
      </c>
      <c r="T207" s="48">
        <v>0</v>
      </c>
      <c r="U207" s="49">
        <v>0</v>
      </c>
      <c r="V207" s="49">
        <v>0.000788</v>
      </c>
      <c r="W207" s="49">
        <v>0.001997</v>
      </c>
      <c r="X207" s="49">
        <v>0.377466</v>
      </c>
      <c r="Y207" s="49">
        <v>0</v>
      </c>
      <c r="Z207" s="49">
        <v>0</v>
      </c>
      <c r="AA207" s="72">
        <v>207</v>
      </c>
      <c r="AB207" s="72"/>
      <c r="AC207" s="73"/>
      <c r="AD207" s="88" t="s">
        <v>709</v>
      </c>
      <c r="AE207" s="88" t="s">
        <v>985</v>
      </c>
      <c r="AF207" s="88" t="s">
        <v>1246</v>
      </c>
      <c r="AG207" s="88" t="s">
        <v>1321</v>
      </c>
      <c r="AH207" s="88" t="s">
        <v>1628</v>
      </c>
      <c r="AI207" s="88">
        <v>128343</v>
      </c>
      <c r="AJ207" s="88">
        <v>642</v>
      </c>
      <c r="AK207" s="88">
        <v>5199</v>
      </c>
      <c r="AL207" s="88">
        <v>100</v>
      </c>
      <c r="AM207" s="88" t="s">
        <v>1705</v>
      </c>
      <c r="AN207" s="100" t="str">
        <f>HYPERLINK("https://www.youtube.com/watch?v=jrwSo9ZDZEg")</f>
        <v>https://www.youtube.com/watch?v=jrwSo9ZDZEg</v>
      </c>
      <c r="AO207" s="88" t="str">
        <f>REPLACE(INDEX(GroupVertices[Group],MATCH(Vertices[[#This Row],[Vertex]],GroupVertices[Vertex],0)),1,1,"")</f>
        <v>1</v>
      </c>
      <c r="AP207" s="48">
        <v>0</v>
      </c>
      <c r="AQ207" s="49">
        <v>0</v>
      </c>
      <c r="AR207" s="48">
        <v>4</v>
      </c>
      <c r="AS207" s="49">
        <v>7.142857142857143</v>
      </c>
      <c r="AT207" s="48">
        <v>0</v>
      </c>
      <c r="AU207" s="49">
        <v>0</v>
      </c>
      <c r="AV207" s="48">
        <v>52</v>
      </c>
      <c r="AW207" s="49">
        <v>92.85714285714286</v>
      </c>
      <c r="AX207" s="48">
        <v>56</v>
      </c>
      <c r="AY207" s="48"/>
      <c r="AZ207" s="48"/>
      <c r="BA207" s="48"/>
      <c r="BB207" s="48"/>
      <c r="BC207" s="2"/>
      <c r="BD207" s="3"/>
      <c r="BE207" s="3"/>
      <c r="BF207" s="3"/>
      <c r="BG207" s="3"/>
    </row>
    <row r="208" spans="1:59" ht="15">
      <c r="A208" s="65" t="s">
        <v>421</v>
      </c>
      <c r="B208" s="66"/>
      <c r="C208" s="66"/>
      <c r="D208" s="67">
        <v>88.12989862508624</v>
      </c>
      <c r="E208" s="69"/>
      <c r="F208" s="98" t="str">
        <f>HYPERLINK("https://i.ytimg.com/vi/iCFEsRk_Uxc/default.jpg")</f>
        <v>https://i.ytimg.com/vi/iCFEsRk_Uxc/default.jpg</v>
      </c>
      <c r="G208" s="66"/>
      <c r="H208" s="70" t="s">
        <v>710</v>
      </c>
      <c r="I208" s="71"/>
      <c r="J208" s="71" t="s">
        <v>159</v>
      </c>
      <c r="K208" s="70" t="s">
        <v>710</v>
      </c>
      <c r="L208" s="74">
        <v>909.9090909090909</v>
      </c>
      <c r="M208" s="75">
        <v>106.14649963378906</v>
      </c>
      <c r="N208" s="75">
        <v>7522.43115234375</v>
      </c>
      <c r="O208" s="76"/>
      <c r="P208" s="77"/>
      <c r="Q208" s="77"/>
      <c r="R208" s="91"/>
      <c r="S208" s="48">
        <v>1</v>
      </c>
      <c r="T208" s="48">
        <v>0</v>
      </c>
      <c r="U208" s="49">
        <v>0</v>
      </c>
      <c r="V208" s="49">
        <v>0.000788</v>
      </c>
      <c r="W208" s="49">
        <v>0.001997</v>
      </c>
      <c r="X208" s="49">
        <v>0.377466</v>
      </c>
      <c r="Y208" s="49">
        <v>0</v>
      </c>
      <c r="Z208" s="49">
        <v>0</v>
      </c>
      <c r="AA208" s="72">
        <v>208</v>
      </c>
      <c r="AB208" s="72"/>
      <c r="AC208" s="73"/>
      <c r="AD208" s="88" t="s">
        <v>710</v>
      </c>
      <c r="AE208" s="88" t="s">
        <v>986</v>
      </c>
      <c r="AF208" s="88" t="s">
        <v>1247</v>
      </c>
      <c r="AG208" s="88" t="s">
        <v>1390</v>
      </c>
      <c r="AH208" s="88" t="s">
        <v>1629</v>
      </c>
      <c r="AI208" s="88">
        <v>75092</v>
      </c>
      <c r="AJ208" s="88">
        <v>52</v>
      </c>
      <c r="AK208" s="88">
        <v>756</v>
      </c>
      <c r="AL208" s="88">
        <v>62</v>
      </c>
      <c r="AM208" s="88" t="s">
        <v>1705</v>
      </c>
      <c r="AN208" s="100" t="str">
        <f>HYPERLINK("https://www.youtube.com/watch?v=iCFEsRk_Uxc")</f>
        <v>https://www.youtube.com/watch?v=iCFEsRk_Uxc</v>
      </c>
      <c r="AO208" s="88" t="str">
        <f>REPLACE(INDEX(GroupVertices[Group],MATCH(Vertices[[#This Row],[Vertex]],GroupVertices[Vertex],0)),1,1,"")</f>
        <v>1</v>
      </c>
      <c r="AP208" s="48">
        <v>1</v>
      </c>
      <c r="AQ208" s="49">
        <v>1.6666666666666667</v>
      </c>
      <c r="AR208" s="48">
        <v>1</v>
      </c>
      <c r="AS208" s="49">
        <v>1.6666666666666667</v>
      </c>
      <c r="AT208" s="48">
        <v>0</v>
      </c>
      <c r="AU208" s="49">
        <v>0</v>
      </c>
      <c r="AV208" s="48">
        <v>58</v>
      </c>
      <c r="AW208" s="49">
        <v>96.66666666666667</v>
      </c>
      <c r="AX208" s="48">
        <v>60</v>
      </c>
      <c r="AY208" s="48"/>
      <c r="AZ208" s="48"/>
      <c r="BA208" s="48"/>
      <c r="BB208" s="48"/>
      <c r="BC208" s="2"/>
      <c r="BD208" s="3"/>
      <c r="BE208" s="3"/>
      <c r="BF208" s="3"/>
      <c r="BG208" s="3"/>
    </row>
    <row r="209" spans="1:59" ht="15">
      <c r="A209" s="65" t="s">
        <v>422</v>
      </c>
      <c r="B209" s="66"/>
      <c r="C209" s="66"/>
      <c r="D209" s="67">
        <v>81.40166180966851</v>
      </c>
      <c r="E209" s="69"/>
      <c r="F209" s="98" t="str">
        <f>HYPERLINK("https://i.ytimg.com/vi/BBT4uR-KGDA/default.jpg")</f>
        <v>https://i.ytimg.com/vi/BBT4uR-KGDA/default.jpg</v>
      </c>
      <c r="G209" s="66"/>
      <c r="H209" s="70" t="s">
        <v>711</v>
      </c>
      <c r="I209" s="71"/>
      <c r="J209" s="71" t="s">
        <v>159</v>
      </c>
      <c r="K209" s="70" t="s">
        <v>711</v>
      </c>
      <c r="L209" s="74">
        <v>909.9090909090909</v>
      </c>
      <c r="M209" s="75">
        <v>517.2891845703125</v>
      </c>
      <c r="N209" s="75">
        <v>6991.7119140625</v>
      </c>
      <c r="O209" s="76"/>
      <c r="P209" s="77"/>
      <c r="Q209" s="77"/>
      <c r="R209" s="91"/>
      <c r="S209" s="48">
        <v>1</v>
      </c>
      <c r="T209" s="48">
        <v>0</v>
      </c>
      <c r="U209" s="49">
        <v>0</v>
      </c>
      <c r="V209" s="49">
        <v>0.000788</v>
      </c>
      <c r="W209" s="49">
        <v>0.001997</v>
      </c>
      <c r="X209" s="49">
        <v>0.377466</v>
      </c>
      <c r="Y209" s="49">
        <v>0</v>
      </c>
      <c r="Z209" s="49">
        <v>0</v>
      </c>
      <c r="AA209" s="72">
        <v>209</v>
      </c>
      <c r="AB209" s="72"/>
      <c r="AC209" s="73"/>
      <c r="AD209" s="88" t="s">
        <v>711</v>
      </c>
      <c r="AE209" s="88" t="s">
        <v>987</v>
      </c>
      <c r="AF209" s="88"/>
      <c r="AG209" s="88" t="s">
        <v>1391</v>
      </c>
      <c r="AH209" s="88" t="s">
        <v>1630</v>
      </c>
      <c r="AI209" s="88">
        <v>13016</v>
      </c>
      <c r="AJ209" s="88">
        <v>12</v>
      </c>
      <c r="AK209" s="88">
        <v>68</v>
      </c>
      <c r="AL209" s="88">
        <v>8</v>
      </c>
      <c r="AM209" s="88" t="s">
        <v>1705</v>
      </c>
      <c r="AN209" s="100" t="str">
        <f>HYPERLINK("https://www.youtube.com/watch?v=BBT4uR-KGDA")</f>
        <v>https://www.youtube.com/watch?v=BBT4uR-KGDA</v>
      </c>
      <c r="AO209" s="88" t="str">
        <f>REPLACE(INDEX(GroupVertices[Group],MATCH(Vertices[[#This Row],[Vertex]],GroupVertices[Vertex],0)),1,1,"")</f>
        <v>1</v>
      </c>
      <c r="AP209" s="48"/>
      <c r="AQ209" s="49"/>
      <c r="AR209" s="48"/>
      <c r="AS209" s="49"/>
      <c r="AT209" s="48"/>
      <c r="AU209" s="49"/>
      <c r="AV209" s="48"/>
      <c r="AW209" s="49"/>
      <c r="AX209" s="48"/>
      <c r="AY209" s="48"/>
      <c r="AZ209" s="48"/>
      <c r="BA209" s="48"/>
      <c r="BB209" s="48"/>
      <c r="BC209" s="2"/>
      <c r="BD209" s="3"/>
      <c r="BE209" s="3"/>
      <c r="BF209" s="3"/>
      <c r="BG209" s="3"/>
    </row>
    <row r="210" spans="1:59" ht="15">
      <c r="A210" s="65" t="s">
        <v>423</v>
      </c>
      <c r="B210" s="66"/>
      <c r="C210" s="66"/>
      <c r="D210" s="67">
        <v>128.92116206037255</v>
      </c>
      <c r="E210" s="69"/>
      <c r="F210" s="98" t="str">
        <f>HYPERLINK("https://i.ytimg.com/vi/RGlUs2jHsUk/default.jpg")</f>
        <v>https://i.ytimg.com/vi/RGlUs2jHsUk/default.jpg</v>
      </c>
      <c r="G210" s="66"/>
      <c r="H210" s="70" t="s">
        <v>712</v>
      </c>
      <c r="I210" s="71"/>
      <c r="J210" s="71" t="s">
        <v>159</v>
      </c>
      <c r="K210" s="70" t="s">
        <v>712</v>
      </c>
      <c r="L210" s="74">
        <v>909.9090909090909</v>
      </c>
      <c r="M210" s="75">
        <v>346.9716491699219</v>
      </c>
      <c r="N210" s="75">
        <v>6364.26220703125</v>
      </c>
      <c r="O210" s="76"/>
      <c r="P210" s="77"/>
      <c r="Q210" s="77"/>
      <c r="R210" s="91"/>
      <c r="S210" s="48">
        <v>1</v>
      </c>
      <c r="T210" s="48">
        <v>0</v>
      </c>
      <c r="U210" s="49">
        <v>0</v>
      </c>
      <c r="V210" s="49">
        <v>0.000788</v>
      </c>
      <c r="W210" s="49">
        <v>0.001997</v>
      </c>
      <c r="X210" s="49">
        <v>0.377466</v>
      </c>
      <c r="Y210" s="49">
        <v>0</v>
      </c>
      <c r="Z210" s="49">
        <v>0</v>
      </c>
      <c r="AA210" s="72">
        <v>210</v>
      </c>
      <c r="AB210" s="72"/>
      <c r="AC210" s="73"/>
      <c r="AD210" s="88" t="s">
        <v>712</v>
      </c>
      <c r="AE210" s="88" t="s">
        <v>988</v>
      </c>
      <c r="AF210" s="88" t="s">
        <v>1248</v>
      </c>
      <c r="AG210" s="88" t="s">
        <v>1320</v>
      </c>
      <c r="AH210" s="88" t="s">
        <v>1631</v>
      </c>
      <c r="AI210" s="88">
        <v>451440</v>
      </c>
      <c r="AJ210" s="88">
        <v>2267</v>
      </c>
      <c r="AK210" s="88">
        <v>5682</v>
      </c>
      <c r="AL210" s="88">
        <v>712</v>
      </c>
      <c r="AM210" s="88" t="s">
        <v>1705</v>
      </c>
      <c r="AN210" s="100" t="str">
        <f>HYPERLINK("https://www.youtube.com/watch?v=RGlUs2jHsUk")</f>
        <v>https://www.youtube.com/watch?v=RGlUs2jHsUk</v>
      </c>
      <c r="AO210" s="88" t="str">
        <f>REPLACE(INDEX(GroupVertices[Group],MATCH(Vertices[[#This Row],[Vertex]],GroupVertices[Vertex],0)),1,1,"")</f>
        <v>1</v>
      </c>
      <c r="AP210" s="48">
        <v>1</v>
      </c>
      <c r="AQ210" s="49">
        <v>1.5873015873015872</v>
      </c>
      <c r="AR210" s="48">
        <v>0</v>
      </c>
      <c r="AS210" s="49">
        <v>0</v>
      </c>
      <c r="AT210" s="48">
        <v>0</v>
      </c>
      <c r="AU210" s="49">
        <v>0</v>
      </c>
      <c r="AV210" s="48">
        <v>62</v>
      </c>
      <c r="AW210" s="49">
        <v>98.41269841269842</v>
      </c>
      <c r="AX210" s="48">
        <v>63</v>
      </c>
      <c r="AY210" s="48"/>
      <c r="AZ210" s="48"/>
      <c r="BA210" s="48"/>
      <c r="BB210" s="48"/>
      <c r="BC210" s="2"/>
      <c r="BD210" s="3"/>
      <c r="BE210" s="3"/>
      <c r="BF210" s="3"/>
      <c r="BG210" s="3"/>
    </row>
    <row r="211" spans="1:59" ht="15">
      <c r="A211" s="65" t="s">
        <v>424</v>
      </c>
      <c r="B211" s="66"/>
      <c r="C211" s="66"/>
      <c r="D211" s="67">
        <v>90.28224939962979</v>
      </c>
      <c r="E211" s="69"/>
      <c r="F211" s="98" t="str">
        <f>HYPERLINK("https://i.ytimg.com/vi/Cu0vTtlV6Fk/default_live.jpg")</f>
        <v>https://i.ytimg.com/vi/Cu0vTtlV6Fk/default_live.jpg</v>
      </c>
      <c r="G211" s="66"/>
      <c r="H211" s="70" t="s">
        <v>713</v>
      </c>
      <c r="I211" s="71"/>
      <c r="J211" s="71" t="s">
        <v>159</v>
      </c>
      <c r="K211" s="70" t="s">
        <v>713</v>
      </c>
      <c r="L211" s="74">
        <v>909.9090909090909</v>
      </c>
      <c r="M211" s="75">
        <v>549.22509765625</v>
      </c>
      <c r="N211" s="75">
        <v>6475.4716796875</v>
      </c>
      <c r="O211" s="76"/>
      <c r="P211" s="77"/>
      <c r="Q211" s="77"/>
      <c r="R211" s="91"/>
      <c r="S211" s="48">
        <v>1</v>
      </c>
      <c r="T211" s="48">
        <v>0</v>
      </c>
      <c r="U211" s="49">
        <v>0</v>
      </c>
      <c r="V211" s="49">
        <v>0.000788</v>
      </c>
      <c r="W211" s="49">
        <v>0.001997</v>
      </c>
      <c r="X211" s="49">
        <v>0.377466</v>
      </c>
      <c r="Y211" s="49">
        <v>0</v>
      </c>
      <c r="Z211" s="49">
        <v>0</v>
      </c>
      <c r="AA211" s="72">
        <v>211</v>
      </c>
      <c r="AB211" s="72"/>
      <c r="AC211" s="73"/>
      <c r="AD211" s="88" t="s">
        <v>713</v>
      </c>
      <c r="AE211" s="88" t="s">
        <v>989</v>
      </c>
      <c r="AF211" s="88" t="s">
        <v>1249</v>
      </c>
      <c r="AG211" s="88" t="s">
        <v>1388</v>
      </c>
      <c r="AH211" s="88" t="s">
        <v>1632</v>
      </c>
      <c r="AI211" s="88">
        <v>94950</v>
      </c>
      <c r="AJ211" s="88">
        <v>0</v>
      </c>
      <c r="AK211" s="88">
        <v>1527</v>
      </c>
      <c r="AL211" s="88">
        <v>253</v>
      </c>
      <c r="AM211" s="88" t="s">
        <v>1705</v>
      </c>
      <c r="AN211" s="100" t="str">
        <f>HYPERLINK("https://www.youtube.com/watch?v=Cu0vTtlV6Fk")</f>
        <v>https://www.youtube.com/watch?v=Cu0vTtlV6Fk</v>
      </c>
      <c r="AO211" s="88" t="str">
        <f>REPLACE(INDEX(GroupVertices[Group],MATCH(Vertices[[#This Row],[Vertex]],GroupVertices[Vertex],0)),1,1,"")</f>
        <v>1</v>
      </c>
      <c r="AP211" s="48">
        <v>0</v>
      </c>
      <c r="AQ211" s="49">
        <v>0</v>
      </c>
      <c r="AR211" s="48">
        <v>1</v>
      </c>
      <c r="AS211" s="49">
        <v>5.2631578947368425</v>
      </c>
      <c r="AT211" s="48">
        <v>0</v>
      </c>
      <c r="AU211" s="49">
        <v>0</v>
      </c>
      <c r="AV211" s="48">
        <v>18</v>
      </c>
      <c r="AW211" s="49">
        <v>94.73684210526316</v>
      </c>
      <c r="AX211" s="48">
        <v>19</v>
      </c>
      <c r="AY211" s="48"/>
      <c r="AZ211" s="48"/>
      <c r="BA211" s="48"/>
      <c r="BB211" s="48"/>
      <c r="BC211" s="2"/>
      <c r="BD211" s="3"/>
      <c r="BE211" s="3"/>
      <c r="BF211" s="3"/>
      <c r="BG211" s="3"/>
    </row>
    <row r="212" spans="1:59" ht="15">
      <c r="A212" s="65" t="s">
        <v>425</v>
      </c>
      <c r="B212" s="66"/>
      <c r="C212" s="66"/>
      <c r="D212" s="67">
        <v>81.83217531941203</v>
      </c>
      <c r="E212" s="69"/>
      <c r="F212" s="98" t="str">
        <f>HYPERLINK("https://i.ytimg.com/vi/KS7hmzhybg8/default.jpg")</f>
        <v>https://i.ytimg.com/vi/KS7hmzhybg8/default.jpg</v>
      </c>
      <c r="G212" s="66"/>
      <c r="H212" s="70" t="s">
        <v>714</v>
      </c>
      <c r="I212" s="71"/>
      <c r="J212" s="71" t="s">
        <v>75</v>
      </c>
      <c r="K212" s="70" t="s">
        <v>714</v>
      </c>
      <c r="L212" s="74">
        <v>1818.8181818181818</v>
      </c>
      <c r="M212" s="75">
        <v>636.717041015625</v>
      </c>
      <c r="N212" s="75">
        <v>8096.64501953125</v>
      </c>
      <c r="O212" s="76"/>
      <c r="P212" s="77"/>
      <c r="Q212" s="77"/>
      <c r="R212" s="91"/>
      <c r="S212" s="48">
        <v>2</v>
      </c>
      <c r="T212" s="48">
        <v>0</v>
      </c>
      <c r="U212" s="49">
        <v>0</v>
      </c>
      <c r="V212" s="49">
        <v>0.000842</v>
      </c>
      <c r="W212" s="49">
        <v>0.004021</v>
      </c>
      <c r="X212" s="49">
        <v>0.625171</v>
      </c>
      <c r="Y212" s="49">
        <v>0.5</v>
      </c>
      <c r="Z212" s="49">
        <v>0</v>
      </c>
      <c r="AA212" s="72">
        <v>212</v>
      </c>
      <c r="AB212" s="72"/>
      <c r="AC212" s="73"/>
      <c r="AD212" s="88" t="s">
        <v>714</v>
      </c>
      <c r="AE212" s="88" t="s">
        <v>990</v>
      </c>
      <c r="AF212" s="88" t="s">
        <v>1250</v>
      </c>
      <c r="AG212" s="88" t="s">
        <v>1392</v>
      </c>
      <c r="AH212" s="88" t="s">
        <v>1633</v>
      </c>
      <c r="AI212" s="88">
        <v>16988</v>
      </c>
      <c r="AJ212" s="88">
        <v>28</v>
      </c>
      <c r="AK212" s="88">
        <v>188</v>
      </c>
      <c r="AL212" s="88">
        <v>15</v>
      </c>
      <c r="AM212" s="88" t="s">
        <v>1705</v>
      </c>
      <c r="AN212" s="100" t="str">
        <f>HYPERLINK("https://www.youtube.com/watch?v=KS7hmzhybg8")</f>
        <v>https://www.youtube.com/watch?v=KS7hmzhybg8</v>
      </c>
      <c r="AO212" s="88" t="str">
        <f>REPLACE(INDEX(GroupVertices[Group],MATCH(Vertices[[#This Row],[Vertex]],GroupVertices[Vertex],0)),1,1,"")</f>
        <v>1</v>
      </c>
      <c r="AP212" s="48">
        <v>0</v>
      </c>
      <c r="AQ212" s="49">
        <v>0</v>
      </c>
      <c r="AR212" s="48">
        <v>0</v>
      </c>
      <c r="AS212" s="49">
        <v>0</v>
      </c>
      <c r="AT212" s="48">
        <v>0</v>
      </c>
      <c r="AU212" s="49">
        <v>0</v>
      </c>
      <c r="AV212" s="48">
        <v>21</v>
      </c>
      <c r="AW212" s="49">
        <v>100</v>
      </c>
      <c r="AX212" s="48">
        <v>21</v>
      </c>
      <c r="AY212" s="48"/>
      <c r="AZ212" s="48"/>
      <c r="BA212" s="48"/>
      <c r="BB212" s="48"/>
      <c r="BC212" s="2"/>
      <c r="BD212" s="3"/>
      <c r="BE212" s="3"/>
      <c r="BF212" s="3"/>
      <c r="BG212" s="3"/>
    </row>
    <row r="213" spans="1:59" ht="15">
      <c r="A213" s="65" t="s">
        <v>426</v>
      </c>
      <c r="B213" s="66"/>
      <c r="C213" s="66"/>
      <c r="D213" s="67">
        <v>82.32934688768836</v>
      </c>
      <c r="E213" s="69"/>
      <c r="F213" s="98" t="str">
        <f>HYPERLINK("https://i.ytimg.com/vi/04FkoxyrMII/default.jpg")</f>
        <v>https://i.ytimg.com/vi/04FkoxyrMII/default.jpg</v>
      </c>
      <c r="G213" s="66"/>
      <c r="H213" s="70" t="s">
        <v>715</v>
      </c>
      <c r="I213" s="71"/>
      <c r="J213" s="71" t="s">
        <v>159</v>
      </c>
      <c r="K213" s="70" t="s">
        <v>715</v>
      </c>
      <c r="L213" s="74">
        <v>909.9090909090909</v>
      </c>
      <c r="M213" s="75">
        <v>1171.3299560546875</v>
      </c>
      <c r="N213" s="75">
        <v>9854.505859375</v>
      </c>
      <c r="O213" s="76"/>
      <c r="P213" s="77"/>
      <c r="Q213" s="77"/>
      <c r="R213" s="91"/>
      <c r="S213" s="48">
        <v>1</v>
      </c>
      <c r="T213" s="48">
        <v>0</v>
      </c>
      <c r="U213" s="49">
        <v>0</v>
      </c>
      <c r="V213" s="49">
        <v>0.000832</v>
      </c>
      <c r="W213" s="49">
        <v>0.002024</v>
      </c>
      <c r="X213" s="49">
        <v>0.397705</v>
      </c>
      <c r="Y213" s="49">
        <v>0</v>
      </c>
      <c r="Z213" s="49">
        <v>0</v>
      </c>
      <c r="AA213" s="72">
        <v>213</v>
      </c>
      <c r="AB213" s="72"/>
      <c r="AC213" s="73"/>
      <c r="AD213" s="88" t="s">
        <v>715</v>
      </c>
      <c r="AE213" s="88" t="s">
        <v>991</v>
      </c>
      <c r="AF213" s="88" t="s">
        <v>1251</v>
      </c>
      <c r="AG213" s="88" t="s">
        <v>1377</v>
      </c>
      <c r="AH213" s="88" t="s">
        <v>1634</v>
      </c>
      <c r="AI213" s="88">
        <v>21575</v>
      </c>
      <c r="AJ213" s="88">
        <v>444</v>
      </c>
      <c r="AK213" s="88">
        <v>966</v>
      </c>
      <c r="AL213" s="88">
        <v>24</v>
      </c>
      <c r="AM213" s="88" t="s">
        <v>1705</v>
      </c>
      <c r="AN213" s="100" t="str">
        <f>HYPERLINK("https://www.youtube.com/watch?v=04FkoxyrMII")</f>
        <v>https://www.youtube.com/watch?v=04FkoxyrMII</v>
      </c>
      <c r="AO213" s="88" t="str">
        <f>REPLACE(INDEX(GroupVertices[Group],MATCH(Vertices[[#This Row],[Vertex]],GroupVertices[Vertex],0)),1,1,"")</f>
        <v>1</v>
      </c>
      <c r="AP213" s="48">
        <v>0</v>
      </c>
      <c r="AQ213" s="49">
        <v>0</v>
      </c>
      <c r="AR213" s="48">
        <v>0</v>
      </c>
      <c r="AS213" s="49">
        <v>0</v>
      </c>
      <c r="AT213" s="48">
        <v>0</v>
      </c>
      <c r="AU213" s="49">
        <v>0</v>
      </c>
      <c r="AV213" s="48">
        <v>37</v>
      </c>
      <c r="AW213" s="49">
        <v>100</v>
      </c>
      <c r="AX213" s="48">
        <v>37</v>
      </c>
      <c r="AY213" s="48"/>
      <c r="AZ213" s="48"/>
      <c r="BA213" s="48"/>
      <c r="BB213" s="48"/>
      <c r="BC213" s="2"/>
      <c r="BD213" s="3"/>
      <c r="BE213" s="3"/>
      <c r="BF213" s="3"/>
      <c r="BG213" s="3"/>
    </row>
    <row r="214" spans="1:59" ht="15">
      <c r="A214" s="65" t="s">
        <v>427</v>
      </c>
      <c r="B214" s="66"/>
      <c r="C214" s="66"/>
      <c r="D214" s="67">
        <v>80.95185539843094</v>
      </c>
      <c r="E214" s="69"/>
      <c r="F214" s="98" t="str">
        <f>HYPERLINK("https://i.ytimg.com/vi/59g5jQRoqHo/default.jpg")</f>
        <v>https://i.ytimg.com/vi/59g5jQRoqHo/default.jpg</v>
      </c>
      <c r="G214" s="66"/>
      <c r="H214" s="70" t="s">
        <v>716</v>
      </c>
      <c r="I214" s="71"/>
      <c r="J214" s="71" t="s">
        <v>159</v>
      </c>
      <c r="K214" s="70" t="s">
        <v>716</v>
      </c>
      <c r="L214" s="74">
        <v>909.9090909090909</v>
      </c>
      <c r="M214" s="75">
        <v>934.4246215820312</v>
      </c>
      <c r="N214" s="75">
        <v>9825.5595703125</v>
      </c>
      <c r="O214" s="76"/>
      <c r="P214" s="77"/>
      <c r="Q214" s="77"/>
      <c r="R214" s="91"/>
      <c r="S214" s="48">
        <v>1</v>
      </c>
      <c r="T214" s="48">
        <v>0</v>
      </c>
      <c r="U214" s="49">
        <v>0</v>
      </c>
      <c r="V214" s="49">
        <v>0.000832</v>
      </c>
      <c r="W214" s="49">
        <v>0.002024</v>
      </c>
      <c r="X214" s="49">
        <v>0.397705</v>
      </c>
      <c r="Y214" s="49">
        <v>0</v>
      </c>
      <c r="Z214" s="49">
        <v>0</v>
      </c>
      <c r="AA214" s="72">
        <v>214</v>
      </c>
      <c r="AB214" s="72"/>
      <c r="AC214" s="73"/>
      <c r="AD214" s="88" t="s">
        <v>716</v>
      </c>
      <c r="AE214" s="88" t="s">
        <v>992</v>
      </c>
      <c r="AF214" s="88" t="s">
        <v>1252</v>
      </c>
      <c r="AG214" s="88" t="s">
        <v>1377</v>
      </c>
      <c r="AH214" s="88" t="s">
        <v>1635</v>
      </c>
      <c r="AI214" s="88">
        <v>8866</v>
      </c>
      <c r="AJ214" s="88">
        <v>127</v>
      </c>
      <c r="AK214" s="88">
        <v>190</v>
      </c>
      <c r="AL214" s="88">
        <v>20</v>
      </c>
      <c r="AM214" s="88" t="s">
        <v>1705</v>
      </c>
      <c r="AN214" s="100" t="str">
        <f>HYPERLINK("https://www.youtube.com/watch?v=59g5jQRoqHo")</f>
        <v>https://www.youtube.com/watch?v=59g5jQRoqHo</v>
      </c>
      <c r="AO214" s="88" t="str">
        <f>REPLACE(INDEX(GroupVertices[Group],MATCH(Vertices[[#This Row],[Vertex]],GroupVertices[Vertex],0)),1,1,"")</f>
        <v>1</v>
      </c>
      <c r="AP214" s="48">
        <v>0</v>
      </c>
      <c r="AQ214" s="49">
        <v>0</v>
      </c>
      <c r="AR214" s="48">
        <v>0</v>
      </c>
      <c r="AS214" s="49">
        <v>0</v>
      </c>
      <c r="AT214" s="48">
        <v>0</v>
      </c>
      <c r="AU214" s="49">
        <v>0</v>
      </c>
      <c r="AV214" s="48">
        <v>32</v>
      </c>
      <c r="AW214" s="49">
        <v>100</v>
      </c>
      <c r="AX214" s="48">
        <v>32</v>
      </c>
      <c r="AY214" s="48"/>
      <c r="AZ214" s="48"/>
      <c r="BA214" s="48"/>
      <c r="BB214" s="48"/>
      <c r="BC214" s="2"/>
      <c r="BD214" s="3"/>
      <c r="BE214" s="3"/>
      <c r="BF214" s="3"/>
      <c r="BG214" s="3"/>
    </row>
    <row r="215" spans="1:59" ht="15">
      <c r="A215" s="65" t="s">
        <v>428</v>
      </c>
      <c r="B215" s="66"/>
      <c r="C215" s="66"/>
      <c r="D215" s="67">
        <v>88.2640818388482</v>
      </c>
      <c r="E215" s="69"/>
      <c r="F215" s="98" t="str">
        <f>HYPERLINK("https://i.ytimg.com/vi/7c7JtyacxBU/default.jpg")</f>
        <v>https://i.ytimg.com/vi/7c7JtyacxBU/default.jpg</v>
      </c>
      <c r="G215" s="66"/>
      <c r="H215" s="70" t="s">
        <v>717</v>
      </c>
      <c r="I215" s="71"/>
      <c r="J215" s="71" t="s">
        <v>159</v>
      </c>
      <c r="K215" s="70" t="s">
        <v>717</v>
      </c>
      <c r="L215" s="74">
        <v>909.9090909090909</v>
      </c>
      <c r="M215" s="75">
        <v>649.8509521484375</v>
      </c>
      <c r="N215" s="75">
        <v>9013.97265625</v>
      </c>
      <c r="O215" s="76"/>
      <c r="P215" s="77"/>
      <c r="Q215" s="77"/>
      <c r="R215" s="91"/>
      <c r="S215" s="48">
        <v>1</v>
      </c>
      <c r="T215" s="48">
        <v>0</v>
      </c>
      <c r="U215" s="49">
        <v>0</v>
      </c>
      <c r="V215" s="49">
        <v>0.000832</v>
      </c>
      <c r="W215" s="49">
        <v>0.002024</v>
      </c>
      <c r="X215" s="49">
        <v>0.397705</v>
      </c>
      <c r="Y215" s="49">
        <v>0</v>
      </c>
      <c r="Z215" s="49">
        <v>0</v>
      </c>
      <c r="AA215" s="72">
        <v>215</v>
      </c>
      <c r="AB215" s="72"/>
      <c r="AC215" s="73"/>
      <c r="AD215" s="88" t="s">
        <v>717</v>
      </c>
      <c r="AE215" s="88" t="s">
        <v>993</v>
      </c>
      <c r="AF215" s="88" t="s">
        <v>1253</v>
      </c>
      <c r="AG215" s="88" t="s">
        <v>1329</v>
      </c>
      <c r="AH215" s="88" t="s">
        <v>1636</v>
      </c>
      <c r="AI215" s="88">
        <v>76330</v>
      </c>
      <c r="AJ215" s="88">
        <v>580</v>
      </c>
      <c r="AK215" s="88">
        <v>983</v>
      </c>
      <c r="AL215" s="88">
        <v>106</v>
      </c>
      <c r="AM215" s="88" t="s">
        <v>1705</v>
      </c>
      <c r="AN215" s="100" t="str">
        <f>HYPERLINK("https://www.youtube.com/watch?v=7c7JtyacxBU")</f>
        <v>https://www.youtube.com/watch?v=7c7JtyacxBU</v>
      </c>
      <c r="AO215" s="88" t="str">
        <f>REPLACE(INDEX(GroupVertices[Group],MATCH(Vertices[[#This Row],[Vertex]],GroupVertices[Vertex],0)),1,1,"")</f>
        <v>1</v>
      </c>
      <c r="AP215" s="48">
        <v>0</v>
      </c>
      <c r="AQ215" s="49">
        <v>0</v>
      </c>
      <c r="AR215" s="48">
        <v>7</v>
      </c>
      <c r="AS215" s="49">
        <v>12.962962962962964</v>
      </c>
      <c r="AT215" s="48">
        <v>0</v>
      </c>
      <c r="AU215" s="49">
        <v>0</v>
      </c>
      <c r="AV215" s="48">
        <v>47</v>
      </c>
      <c r="AW215" s="49">
        <v>87.03703703703704</v>
      </c>
      <c r="AX215" s="48">
        <v>54</v>
      </c>
      <c r="AY215" s="48"/>
      <c r="AZ215" s="48"/>
      <c r="BA215" s="48"/>
      <c r="BB215" s="48"/>
      <c r="BC215" s="2"/>
      <c r="BD215" s="3"/>
      <c r="BE215" s="3"/>
      <c r="BF215" s="3"/>
      <c r="BG215" s="3"/>
    </row>
    <row r="216" spans="1:59" ht="15">
      <c r="A216" s="65" t="s">
        <v>429</v>
      </c>
      <c r="B216" s="66"/>
      <c r="C216" s="66"/>
      <c r="D216" s="67">
        <v>81.08116119327585</v>
      </c>
      <c r="E216" s="69"/>
      <c r="F216" s="98" t="str">
        <f>HYPERLINK("https://i.ytimg.com/vi/0G9obcyweoc/default.jpg")</f>
        <v>https://i.ytimg.com/vi/0G9obcyweoc/default.jpg</v>
      </c>
      <c r="G216" s="66"/>
      <c r="H216" s="70" t="s">
        <v>718</v>
      </c>
      <c r="I216" s="71"/>
      <c r="J216" s="71" t="s">
        <v>159</v>
      </c>
      <c r="K216" s="70" t="s">
        <v>718</v>
      </c>
      <c r="L216" s="74">
        <v>909.9090909090909</v>
      </c>
      <c r="M216" s="75">
        <v>700.9483032226562</v>
      </c>
      <c r="N216" s="75">
        <v>9702.0751953125</v>
      </c>
      <c r="O216" s="76"/>
      <c r="P216" s="77"/>
      <c r="Q216" s="77"/>
      <c r="R216" s="91"/>
      <c r="S216" s="48">
        <v>1</v>
      </c>
      <c r="T216" s="48">
        <v>0</v>
      </c>
      <c r="U216" s="49">
        <v>0</v>
      </c>
      <c r="V216" s="49">
        <v>0.000832</v>
      </c>
      <c r="W216" s="49">
        <v>0.002024</v>
      </c>
      <c r="X216" s="49">
        <v>0.397705</v>
      </c>
      <c r="Y216" s="49">
        <v>0</v>
      </c>
      <c r="Z216" s="49">
        <v>0</v>
      </c>
      <c r="AA216" s="72">
        <v>216</v>
      </c>
      <c r="AB216" s="72"/>
      <c r="AC216" s="73"/>
      <c r="AD216" s="88" t="s">
        <v>718</v>
      </c>
      <c r="AE216" s="88" t="s">
        <v>994</v>
      </c>
      <c r="AF216" s="88" t="s">
        <v>1254</v>
      </c>
      <c r="AG216" s="88" t="s">
        <v>1377</v>
      </c>
      <c r="AH216" s="88" t="s">
        <v>1637</v>
      </c>
      <c r="AI216" s="88">
        <v>10059</v>
      </c>
      <c r="AJ216" s="88">
        <v>94</v>
      </c>
      <c r="AK216" s="88">
        <v>299</v>
      </c>
      <c r="AL216" s="88">
        <v>8</v>
      </c>
      <c r="AM216" s="88" t="s">
        <v>1705</v>
      </c>
      <c r="AN216" s="100" t="str">
        <f>HYPERLINK("https://www.youtube.com/watch?v=0G9obcyweoc")</f>
        <v>https://www.youtube.com/watch?v=0G9obcyweoc</v>
      </c>
      <c r="AO216" s="88" t="str">
        <f>REPLACE(INDEX(GroupVertices[Group],MATCH(Vertices[[#This Row],[Vertex]],GroupVertices[Vertex],0)),1,1,"")</f>
        <v>1</v>
      </c>
      <c r="AP216" s="48">
        <v>0</v>
      </c>
      <c r="AQ216" s="49">
        <v>0</v>
      </c>
      <c r="AR216" s="48">
        <v>1</v>
      </c>
      <c r="AS216" s="49">
        <v>2.9411764705882355</v>
      </c>
      <c r="AT216" s="48">
        <v>0</v>
      </c>
      <c r="AU216" s="49">
        <v>0</v>
      </c>
      <c r="AV216" s="48">
        <v>33</v>
      </c>
      <c r="AW216" s="49">
        <v>97.05882352941177</v>
      </c>
      <c r="AX216" s="48">
        <v>34</v>
      </c>
      <c r="AY216" s="48"/>
      <c r="AZ216" s="48"/>
      <c r="BA216" s="48"/>
      <c r="BB216" s="48"/>
      <c r="BC216" s="2"/>
      <c r="BD216" s="3"/>
      <c r="BE216" s="3"/>
      <c r="BF216" s="3"/>
      <c r="BG216" s="3"/>
    </row>
    <row r="217" spans="1:59" ht="15">
      <c r="A217" s="65" t="s">
        <v>430</v>
      </c>
      <c r="B217" s="66"/>
      <c r="C217" s="66"/>
      <c r="D217" s="67">
        <v>81.27745020791471</v>
      </c>
      <c r="E217" s="69"/>
      <c r="F217" s="98" t="str">
        <f>HYPERLINK("https://i.ytimg.com/vi/ng48epMYjq4/default.jpg")</f>
        <v>https://i.ytimg.com/vi/ng48epMYjq4/default.jpg</v>
      </c>
      <c r="G217" s="66"/>
      <c r="H217" s="70" t="s">
        <v>719</v>
      </c>
      <c r="I217" s="71"/>
      <c r="J217" s="71" t="s">
        <v>159</v>
      </c>
      <c r="K217" s="70" t="s">
        <v>719</v>
      </c>
      <c r="L217" s="74">
        <v>909.9090909090909</v>
      </c>
      <c r="M217" s="75">
        <v>933.8421020507812</v>
      </c>
      <c r="N217" s="75">
        <v>9234.5771484375</v>
      </c>
      <c r="O217" s="76"/>
      <c r="P217" s="77"/>
      <c r="Q217" s="77"/>
      <c r="R217" s="91"/>
      <c r="S217" s="48">
        <v>1</v>
      </c>
      <c r="T217" s="48">
        <v>0</v>
      </c>
      <c r="U217" s="49">
        <v>0</v>
      </c>
      <c r="V217" s="49">
        <v>0.000832</v>
      </c>
      <c r="W217" s="49">
        <v>0.002024</v>
      </c>
      <c r="X217" s="49">
        <v>0.397705</v>
      </c>
      <c r="Y217" s="49">
        <v>0</v>
      </c>
      <c r="Z217" s="49">
        <v>0</v>
      </c>
      <c r="AA217" s="72">
        <v>217</v>
      </c>
      <c r="AB217" s="72"/>
      <c r="AC217" s="73"/>
      <c r="AD217" s="88" t="s">
        <v>719</v>
      </c>
      <c r="AE217" s="88" t="s">
        <v>995</v>
      </c>
      <c r="AF217" s="88" t="s">
        <v>1255</v>
      </c>
      <c r="AG217" s="88" t="s">
        <v>1377</v>
      </c>
      <c r="AH217" s="88" t="s">
        <v>1638</v>
      </c>
      <c r="AI217" s="88">
        <v>11870</v>
      </c>
      <c r="AJ217" s="88">
        <v>122</v>
      </c>
      <c r="AK217" s="88">
        <v>102</v>
      </c>
      <c r="AL217" s="88">
        <v>5</v>
      </c>
      <c r="AM217" s="88" t="s">
        <v>1705</v>
      </c>
      <c r="AN217" s="100" t="str">
        <f>HYPERLINK("https://www.youtube.com/watch?v=ng48epMYjq4")</f>
        <v>https://www.youtube.com/watch?v=ng48epMYjq4</v>
      </c>
      <c r="AO217" s="88" t="str">
        <f>REPLACE(INDEX(GroupVertices[Group],MATCH(Vertices[[#This Row],[Vertex]],GroupVertices[Vertex],0)),1,1,"")</f>
        <v>1</v>
      </c>
      <c r="AP217" s="48">
        <v>0</v>
      </c>
      <c r="AQ217" s="49">
        <v>0</v>
      </c>
      <c r="AR217" s="48">
        <v>0</v>
      </c>
      <c r="AS217" s="49">
        <v>0</v>
      </c>
      <c r="AT217" s="48">
        <v>0</v>
      </c>
      <c r="AU217" s="49">
        <v>0</v>
      </c>
      <c r="AV217" s="48">
        <v>15</v>
      </c>
      <c r="AW217" s="49">
        <v>100</v>
      </c>
      <c r="AX217" s="48">
        <v>15</v>
      </c>
      <c r="AY217" s="48"/>
      <c r="AZ217" s="48"/>
      <c r="BA217" s="48"/>
      <c r="BB217" s="48"/>
      <c r="BC217" s="2"/>
      <c r="BD217" s="3"/>
      <c r="BE217" s="3"/>
      <c r="BF217" s="3"/>
      <c r="BG217" s="3"/>
    </row>
    <row r="218" spans="1:59" ht="15">
      <c r="A218" s="65" t="s">
        <v>431</v>
      </c>
      <c r="B218" s="66"/>
      <c r="C218" s="66"/>
      <c r="D218" s="67">
        <v>82.43513268464447</v>
      </c>
      <c r="E218" s="69"/>
      <c r="F218" s="98" t="str">
        <f>HYPERLINK("https://i.ytimg.com/vi/rsB8LnLq-v0/default.jpg")</f>
        <v>https://i.ytimg.com/vi/rsB8LnLq-v0/default.jpg</v>
      </c>
      <c r="G218" s="66"/>
      <c r="H218" s="70" t="s">
        <v>720</v>
      </c>
      <c r="I218" s="71"/>
      <c r="J218" s="71" t="s">
        <v>159</v>
      </c>
      <c r="K218" s="70" t="s">
        <v>720</v>
      </c>
      <c r="L218" s="74">
        <v>909.9090909090909</v>
      </c>
      <c r="M218" s="75">
        <v>1229.765869140625</v>
      </c>
      <c r="N218" s="75">
        <v>9265.5751953125</v>
      </c>
      <c r="O218" s="76"/>
      <c r="P218" s="77"/>
      <c r="Q218" s="77"/>
      <c r="R218" s="91"/>
      <c r="S218" s="48">
        <v>1</v>
      </c>
      <c r="T218" s="48">
        <v>0</v>
      </c>
      <c r="U218" s="49">
        <v>0</v>
      </c>
      <c r="V218" s="49">
        <v>0.000832</v>
      </c>
      <c r="W218" s="49">
        <v>0.002024</v>
      </c>
      <c r="X218" s="49">
        <v>0.397705</v>
      </c>
      <c r="Y218" s="49">
        <v>0</v>
      </c>
      <c r="Z218" s="49">
        <v>0</v>
      </c>
      <c r="AA218" s="72">
        <v>218</v>
      </c>
      <c r="AB218" s="72"/>
      <c r="AC218" s="73"/>
      <c r="AD218" s="88" t="s">
        <v>720</v>
      </c>
      <c r="AE218" s="88" t="s">
        <v>996</v>
      </c>
      <c r="AF218" s="88" t="s">
        <v>1256</v>
      </c>
      <c r="AG218" s="88" t="s">
        <v>1393</v>
      </c>
      <c r="AH218" s="88" t="s">
        <v>1639</v>
      </c>
      <c r="AI218" s="88">
        <v>22551</v>
      </c>
      <c r="AJ218" s="88">
        <v>61</v>
      </c>
      <c r="AK218" s="88">
        <v>510</v>
      </c>
      <c r="AL218" s="88">
        <v>15</v>
      </c>
      <c r="AM218" s="88" t="s">
        <v>1705</v>
      </c>
      <c r="AN218" s="100" t="str">
        <f>HYPERLINK("https://www.youtube.com/watch?v=rsB8LnLq-v0")</f>
        <v>https://www.youtube.com/watch?v=rsB8LnLq-v0</v>
      </c>
      <c r="AO218" s="88" t="str">
        <f>REPLACE(INDEX(GroupVertices[Group],MATCH(Vertices[[#This Row],[Vertex]],GroupVertices[Vertex],0)),1,1,"")</f>
        <v>1</v>
      </c>
      <c r="AP218" s="48">
        <v>0</v>
      </c>
      <c r="AQ218" s="49">
        <v>0</v>
      </c>
      <c r="AR218" s="48">
        <v>0</v>
      </c>
      <c r="AS218" s="49">
        <v>0</v>
      </c>
      <c r="AT218" s="48">
        <v>0</v>
      </c>
      <c r="AU218" s="49">
        <v>0</v>
      </c>
      <c r="AV218" s="48">
        <v>14</v>
      </c>
      <c r="AW218" s="49">
        <v>100</v>
      </c>
      <c r="AX218" s="48">
        <v>14</v>
      </c>
      <c r="AY218" s="48"/>
      <c r="AZ218" s="48"/>
      <c r="BA218" s="48"/>
      <c r="BB218" s="48"/>
      <c r="BC218" s="2"/>
      <c r="BD218" s="3"/>
      <c r="BE218" s="3"/>
      <c r="BF218" s="3"/>
      <c r="BG218" s="3"/>
    </row>
    <row r="219" spans="1:59" ht="15">
      <c r="A219" s="65" t="s">
        <v>432</v>
      </c>
      <c r="B219" s="66"/>
      <c r="C219" s="66"/>
      <c r="D219" s="67">
        <v>81.58093405164126</v>
      </c>
      <c r="E219" s="69"/>
      <c r="F219" s="98" t="str">
        <f>HYPERLINK("https://i.ytimg.com/vi/C9PImeyoodI/default.jpg")</f>
        <v>https://i.ytimg.com/vi/C9PImeyoodI/default.jpg</v>
      </c>
      <c r="G219" s="66"/>
      <c r="H219" s="70" t="s">
        <v>721</v>
      </c>
      <c r="I219" s="71"/>
      <c r="J219" s="71" t="s">
        <v>159</v>
      </c>
      <c r="K219" s="70" t="s">
        <v>721</v>
      </c>
      <c r="L219" s="74">
        <v>909.9090909090909</v>
      </c>
      <c r="M219" s="75">
        <v>285.87225341796875</v>
      </c>
      <c r="N219" s="75">
        <v>9167.203125</v>
      </c>
      <c r="O219" s="76"/>
      <c r="P219" s="77"/>
      <c r="Q219" s="77"/>
      <c r="R219" s="91"/>
      <c r="S219" s="48">
        <v>1</v>
      </c>
      <c r="T219" s="48">
        <v>0</v>
      </c>
      <c r="U219" s="49">
        <v>0</v>
      </c>
      <c r="V219" s="49">
        <v>0.000832</v>
      </c>
      <c r="W219" s="49">
        <v>0.002024</v>
      </c>
      <c r="X219" s="49">
        <v>0.397705</v>
      </c>
      <c r="Y219" s="49">
        <v>0</v>
      </c>
      <c r="Z219" s="49">
        <v>0</v>
      </c>
      <c r="AA219" s="72">
        <v>219</v>
      </c>
      <c r="AB219" s="72"/>
      <c r="AC219" s="73"/>
      <c r="AD219" s="88" t="s">
        <v>721</v>
      </c>
      <c r="AE219" s="88" t="s">
        <v>997</v>
      </c>
      <c r="AF219" s="88" t="s">
        <v>1257</v>
      </c>
      <c r="AG219" s="88" t="s">
        <v>1394</v>
      </c>
      <c r="AH219" s="88" t="s">
        <v>1640</v>
      </c>
      <c r="AI219" s="88">
        <v>14670</v>
      </c>
      <c r="AJ219" s="88">
        <v>119</v>
      </c>
      <c r="AK219" s="88">
        <v>799</v>
      </c>
      <c r="AL219" s="88">
        <v>28</v>
      </c>
      <c r="AM219" s="88" t="s">
        <v>1705</v>
      </c>
      <c r="AN219" s="100" t="str">
        <f>HYPERLINK("https://www.youtube.com/watch?v=C9PImeyoodI")</f>
        <v>https://www.youtube.com/watch?v=C9PImeyoodI</v>
      </c>
      <c r="AO219" s="88" t="str">
        <f>REPLACE(INDEX(GroupVertices[Group],MATCH(Vertices[[#This Row],[Vertex]],GroupVertices[Vertex],0)),1,1,"")</f>
        <v>1</v>
      </c>
      <c r="AP219" s="48">
        <v>0</v>
      </c>
      <c r="AQ219" s="49">
        <v>0</v>
      </c>
      <c r="AR219" s="48">
        <v>0</v>
      </c>
      <c r="AS219" s="49">
        <v>0</v>
      </c>
      <c r="AT219" s="48">
        <v>0</v>
      </c>
      <c r="AU219" s="49">
        <v>0</v>
      </c>
      <c r="AV219" s="48">
        <v>65</v>
      </c>
      <c r="AW219" s="49">
        <v>100</v>
      </c>
      <c r="AX219" s="48">
        <v>65</v>
      </c>
      <c r="AY219" s="48"/>
      <c r="AZ219" s="48"/>
      <c r="BA219" s="48"/>
      <c r="BB219" s="48"/>
      <c r="BC219" s="2"/>
      <c r="BD219" s="3"/>
      <c r="BE219" s="3"/>
      <c r="BF219" s="3"/>
      <c r="BG219" s="3"/>
    </row>
    <row r="220" spans="1:59" ht="15">
      <c r="A220" s="65" t="s">
        <v>433</v>
      </c>
      <c r="B220" s="66"/>
      <c r="C220" s="66"/>
      <c r="D220" s="67">
        <v>80.46703995807776</v>
      </c>
      <c r="E220" s="69"/>
      <c r="F220" s="98" t="str">
        <f>HYPERLINK("https://i.ytimg.com/vi/IZK-HqBW5Eg/default.jpg")</f>
        <v>https://i.ytimg.com/vi/IZK-HqBW5Eg/default.jpg</v>
      </c>
      <c r="G220" s="66"/>
      <c r="H220" s="70" t="s">
        <v>722</v>
      </c>
      <c r="I220" s="71"/>
      <c r="J220" s="71" t="s">
        <v>159</v>
      </c>
      <c r="K220" s="70" t="s">
        <v>722</v>
      </c>
      <c r="L220" s="74">
        <v>909.9090909090909</v>
      </c>
      <c r="M220" s="75">
        <v>1360.9940185546875</v>
      </c>
      <c r="N220" s="75">
        <v>9624.953125</v>
      </c>
      <c r="O220" s="76"/>
      <c r="P220" s="77"/>
      <c r="Q220" s="77"/>
      <c r="R220" s="91"/>
      <c r="S220" s="48">
        <v>1</v>
      </c>
      <c r="T220" s="48">
        <v>0</v>
      </c>
      <c r="U220" s="49">
        <v>0</v>
      </c>
      <c r="V220" s="49">
        <v>0.000832</v>
      </c>
      <c r="W220" s="49">
        <v>0.002024</v>
      </c>
      <c r="X220" s="49">
        <v>0.397705</v>
      </c>
      <c r="Y220" s="49">
        <v>0</v>
      </c>
      <c r="Z220" s="49">
        <v>0</v>
      </c>
      <c r="AA220" s="72">
        <v>220</v>
      </c>
      <c r="AB220" s="72"/>
      <c r="AC220" s="73"/>
      <c r="AD220" s="88" t="s">
        <v>722</v>
      </c>
      <c r="AE220" s="88" t="s">
        <v>998</v>
      </c>
      <c r="AF220" s="88" t="s">
        <v>1258</v>
      </c>
      <c r="AG220" s="88" t="s">
        <v>1377</v>
      </c>
      <c r="AH220" s="88" t="s">
        <v>1641</v>
      </c>
      <c r="AI220" s="88">
        <v>4393</v>
      </c>
      <c r="AJ220" s="88">
        <v>46</v>
      </c>
      <c r="AK220" s="88">
        <v>167</v>
      </c>
      <c r="AL220" s="88">
        <v>21</v>
      </c>
      <c r="AM220" s="88" t="s">
        <v>1705</v>
      </c>
      <c r="AN220" s="100" t="str">
        <f>HYPERLINK("https://www.youtube.com/watch?v=IZK-HqBW5Eg")</f>
        <v>https://www.youtube.com/watch?v=IZK-HqBW5Eg</v>
      </c>
      <c r="AO220" s="88" t="str">
        <f>REPLACE(INDEX(GroupVertices[Group],MATCH(Vertices[[#This Row],[Vertex]],GroupVertices[Vertex],0)),1,1,"")</f>
        <v>1</v>
      </c>
      <c r="AP220" s="48">
        <v>0</v>
      </c>
      <c r="AQ220" s="49">
        <v>0</v>
      </c>
      <c r="AR220" s="48">
        <v>0</v>
      </c>
      <c r="AS220" s="49">
        <v>0</v>
      </c>
      <c r="AT220" s="48">
        <v>0</v>
      </c>
      <c r="AU220" s="49">
        <v>0</v>
      </c>
      <c r="AV220" s="48">
        <v>27</v>
      </c>
      <c r="AW220" s="49">
        <v>100</v>
      </c>
      <c r="AX220" s="48">
        <v>27</v>
      </c>
      <c r="AY220" s="48"/>
      <c r="AZ220" s="48"/>
      <c r="BA220" s="48"/>
      <c r="BB220" s="48"/>
      <c r="BC220" s="2"/>
      <c r="BD220" s="3"/>
      <c r="BE220" s="3"/>
      <c r="BF220" s="3"/>
      <c r="BG220" s="3"/>
    </row>
    <row r="221" spans="1:59" ht="15">
      <c r="A221" s="65" t="s">
        <v>434</v>
      </c>
      <c r="B221" s="66"/>
      <c r="C221" s="66"/>
      <c r="D221" s="67">
        <v>80.81138573362036</v>
      </c>
      <c r="E221" s="69"/>
      <c r="F221" s="98" t="str">
        <f>HYPERLINK("https://i.ytimg.com/vi/0KaiTDxAPy0/default.jpg")</f>
        <v>https://i.ytimg.com/vi/0KaiTDxAPy0/default.jpg</v>
      </c>
      <c r="G221" s="66"/>
      <c r="H221" s="70" t="s">
        <v>723</v>
      </c>
      <c r="I221" s="71"/>
      <c r="J221" s="71" t="s">
        <v>159</v>
      </c>
      <c r="K221" s="70" t="s">
        <v>723</v>
      </c>
      <c r="L221" s="74">
        <v>909.9090909090909</v>
      </c>
      <c r="M221" s="75">
        <v>485.81805419921875</v>
      </c>
      <c r="N221" s="75">
        <v>9477.158203125</v>
      </c>
      <c r="O221" s="76"/>
      <c r="P221" s="77"/>
      <c r="Q221" s="77"/>
      <c r="R221" s="91"/>
      <c r="S221" s="48">
        <v>1</v>
      </c>
      <c r="T221" s="48">
        <v>0</v>
      </c>
      <c r="U221" s="49">
        <v>0</v>
      </c>
      <c r="V221" s="49">
        <v>0.000832</v>
      </c>
      <c r="W221" s="49">
        <v>0.002024</v>
      </c>
      <c r="X221" s="49">
        <v>0.397705</v>
      </c>
      <c r="Y221" s="49">
        <v>0</v>
      </c>
      <c r="Z221" s="49">
        <v>0</v>
      </c>
      <c r="AA221" s="72">
        <v>221</v>
      </c>
      <c r="AB221" s="72"/>
      <c r="AC221" s="73"/>
      <c r="AD221" s="88" t="s">
        <v>723</v>
      </c>
      <c r="AE221" s="88" t="s">
        <v>999</v>
      </c>
      <c r="AF221" s="88" t="s">
        <v>1259</v>
      </c>
      <c r="AG221" s="88" t="s">
        <v>1395</v>
      </c>
      <c r="AH221" s="88" t="s">
        <v>1642</v>
      </c>
      <c r="AI221" s="88">
        <v>7570</v>
      </c>
      <c r="AJ221" s="88">
        <v>61</v>
      </c>
      <c r="AK221" s="88">
        <v>331</v>
      </c>
      <c r="AL221" s="88">
        <v>10</v>
      </c>
      <c r="AM221" s="88" t="s">
        <v>1705</v>
      </c>
      <c r="AN221" s="100" t="str">
        <f>HYPERLINK("https://www.youtube.com/watch?v=0KaiTDxAPy0")</f>
        <v>https://www.youtube.com/watch?v=0KaiTDxAPy0</v>
      </c>
      <c r="AO221" s="88" t="str">
        <f>REPLACE(INDEX(GroupVertices[Group],MATCH(Vertices[[#This Row],[Vertex]],GroupVertices[Vertex],0)),1,1,"")</f>
        <v>1</v>
      </c>
      <c r="AP221" s="48">
        <v>0</v>
      </c>
      <c r="AQ221" s="49">
        <v>0</v>
      </c>
      <c r="AR221" s="48">
        <v>2</v>
      </c>
      <c r="AS221" s="49">
        <v>4.3478260869565215</v>
      </c>
      <c r="AT221" s="48">
        <v>0</v>
      </c>
      <c r="AU221" s="49">
        <v>0</v>
      </c>
      <c r="AV221" s="48">
        <v>44</v>
      </c>
      <c r="AW221" s="49">
        <v>95.65217391304348</v>
      </c>
      <c r="AX221" s="48">
        <v>46</v>
      </c>
      <c r="AY221" s="48"/>
      <c r="AZ221" s="48"/>
      <c r="BA221" s="48"/>
      <c r="BB221" s="48"/>
      <c r="BC221" s="2"/>
      <c r="BD221" s="3"/>
      <c r="BE221" s="3"/>
      <c r="BF221" s="3"/>
      <c r="BG221" s="3"/>
    </row>
    <row r="222" spans="1:59" ht="15">
      <c r="A222" s="65" t="s">
        <v>435</v>
      </c>
      <c r="B222" s="66"/>
      <c r="C222" s="66"/>
      <c r="D222" s="67">
        <v>84.21734155692867</v>
      </c>
      <c r="E222" s="69"/>
      <c r="F222" s="98" t="str">
        <f>HYPERLINK("https://i.ytimg.com/vi/DNunrPYQ51k/default.jpg")</f>
        <v>https://i.ytimg.com/vi/DNunrPYQ51k/default.jpg</v>
      </c>
      <c r="G222" s="66"/>
      <c r="H222" s="70" t="s">
        <v>724</v>
      </c>
      <c r="I222" s="71"/>
      <c r="J222" s="71" t="s">
        <v>159</v>
      </c>
      <c r="K222" s="70" t="s">
        <v>724</v>
      </c>
      <c r="L222" s="74">
        <v>909.9090909090909</v>
      </c>
      <c r="M222" s="75">
        <v>149.26170349121094</v>
      </c>
      <c r="N222" s="75">
        <v>8653.083984375</v>
      </c>
      <c r="O222" s="76"/>
      <c r="P222" s="77"/>
      <c r="Q222" s="77"/>
      <c r="R222" s="91"/>
      <c r="S222" s="48">
        <v>1</v>
      </c>
      <c r="T222" s="48">
        <v>0</v>
      </c>
      <c r="U222" s="49">
        <v>0</v>
      </c>
      <c r="V222" s="49">
        <v>0.000832</v>
      </c>
      <c r="W222" s="49">
        <v>0.002024</v>
      </c>
      <c r="X222" s="49">
        <v>0.397705</v>
      </c>
      <c r="Y222" s="49">
        <v>0</v>
      </c>
      <c r="Z222" s="49">
        <v>0</v>
      </c>
      <c r="AA222" s="72">
        <v>222</v>
      </c>
      <c r="AB222" s="72"/>
      <c r="AC222" s="73"/>
      <c r="AD222" s="88" t="s">
        <v>724</v>
      </c>
      <c r="AE222" s="88" t="s">
        <v>1000</v>
      </c>
      <c r="AF222" s="88" t="s">
        <v>1260</v>
      </c>
      <c r="AG222" s="88" t="s">
        <v>1393</v>
      </c>
      <c r="AH222" s="88" t="s">
        <v>1643</v>
      </c>
      <c r="AI222" s="88">
        <v>38994</v>
      </c>
      <c r="AJ222" s="88">
        <v>90</v>
      </c>
      <c r="AK222" s="88">
        <v>1010</v>
      </c>
      <c r="AL222" s="88">
        <v>43</v>
      </c>
      <c r="AM222" s="88" t="s">
        <v>1705</v>
      </c>
      <c r="AN222" s="100" t="str">
        <f>HYPERLINK("https://www.youtube.com/watch?v=DNunrPYQ51k")</f>
        <v>https://www.youtube.com/watch?v=DNunrPYQ51k</v>
      </c>
      <c r="AO222" s="88" t="str">
        <f>REPLACE(INDEX(GroupVertices[Group],MATCH(Vertices[[#This Row],[Vertex]],GroupVertices[Vertex],0)),1,1,"")</f>
        <v>1</v>
      </c>
      <c r="AP222" s="48">
        <v>0</v>
      </c>
      <c r="AQ222" s="49">
        <v>0</v>
      </c>
      <c r="AR222" s="48">
        <v>1</v>
      </c>
      <c r="AS222" s="49">
        <v>7.142857142857143</v>
      </c>
      <c r="AT222" s="48">
        <v>0</v>
      </c>
      <c r="AU222" s="49">
        <v>0</v>
      </c>
      <c r="AV222" s="48">
        <v>13</v>
      </c>
      <c r="AW222" s="49">
        <v>92.85714285714286</v>
      </c>
      <c r="AX222" s="48">
        <v>14</v>
      </c>
      <c r="AY222" s="48"/>
      <c r="AZ222" s="48"/>
      <c r="BA222" s="48"/>
      <c r="BB222" s="48"/>
      <c r="BC222" s="2"/>
      <c r="BD222" s="3"/>
      <c r="BE222" s="3"/>
      <c r="BF222" s="3"/>
      <c r="BG222" s="3"/>
    </row>
    <row r="223" spans="1:59" ht="15">
      <c r="A223" s="65" t="s">
        <v>231</v>
      </c>
      <c r="B223" s="66"/>
      <c r="C223" s="66"/>
      <c r="D223" s="67">
        <v>82.53918428820786</v>
      </c>
      <c r="E223" s="69"/>
      <c r="F223" s="98" t="str">
        <f>HYPERLINK("https://i.ytimg.com/vi/g7eABaXrSMM/default.jpg")</f>
        <v>https://i.ytimg.com/vi/g7eABaXrSMM/default.jpg</v>
      </c>
      <c r="G223" s="66"/>
      <c r="H223" s="70" t="s">
        <v>725</v>
      </c>
      <c r="I223" s="71"/>
      <c r="J223" s="71" t="s">
        <v>159</v>
      </c>
      <c r="K223" s="70" t="s">
        <v>725</v>
      </c>
      <c r="L223" s="74">
        <v>1</v>
      </c>
      <c r="M223" s="75">
        <v>4517.2607421875</v>
      </c>
      <c r="N223" s="75">
        <v>1588.0888671875</v>
      </c>
      <c r="O223" s="76"/>
      <c r="P223" s="77"/>
      <c r="Q223" s="77"/>
      <c r="R223" s="91"/>
      <c r="S223" s="48">
        <v>0</v>
      </c>
      <c r="T223" s="48">
        <v>20</v>
      </c>
      <c r="U223" s="49">
        <v>10222</v>
      </c>
      <c r="V223" s="49">
        <v>0.000718</v>
      </c>
      <c r="W223" s="49">
        <v>0.000386</v>
      </c>
      <c r="X223" s="49">
        <v>9.214553</v>
      </c>
      <c r="Y223" s="49">
        <v>0</v>
      </c>
      <c r="Z223" s="49">
        <v>0</v>
      </c>
      <c r="AA223" s="72">
        <v>223</v>
      </c>
      <c r="AB223" s="72"/>
      <c r="AC223" s="73"/>
      <c r="AD223" s="88" t="s">
        <v>725</v>
      </c>
      <c r="AE223" s="88" t="s">
        <v>1001</v>
      </c>
      <c r="AF223" s="88" t="s">
        <v>1261</v>
      </c>
      <c r="AG223" s="88" t="s">
        <v>1396</v>
      </c>
      <c r="AH223" s="88" t="s">
        <v>1644</v>
      </c>
      <c r="AI223" s="88">
        <v>23511</v>
      </c>
      <c r="AJ223" s="88">
        <v>725</v>
      </c>
      <c r="AK223" s="88">
        <v>3276</v>
      </c>
      <c r="AL223" s="88">
        <v>23</v>
      </c>
      <c r="AM223" s="88" t="s">
        <v>1705</v>
      </c>
      <c r="AN223" s="100" t="str">
        <f>HYPERLINK("https://www.youtube.com/watch?v=g7eABaXrSMM")</f>
        <v>https://www.youtube.com/watch?v=g7eABaXrSMM</v>
      </c>
      <c r="AO223" s="88" t="str">
        <f>REPLACE(INDEX(GroupVertices[Group],MATCH(Vertices[[#This Row],[Vertex]],GroupVertices[Vertex],0)),1,1,"")</f>
        <v>8</v>
      </c>
      <c r="AP223" s="48">
        <v>0</v>
      </c>
      <c r="AQ223" s="49">
        <v>0</v>
      </c>
      <c r="AR223" s="48">
        <v>0</v>
      </c>
      <c r="AS223" s="49">
        <v>0</v>
      </c>
      <c r="AT223" s="48">
        <v>0</v>
      </c>
      <c r="AU223" s="49">
        <v>0</v>
      </c>
      <c r="AV223" s="48">
        <v>1</v>
      </c>
      <c r="AW223" s="49">
        <v>100</v>
      </c>
      <c r="AX223" s="48">
        <v>1</v>
      </c>
      <c r="AY223" s="121" t="s">
        <v>2747</v>
      </c>
      <c r="AZ223" s="121" t="s">
        <v>2747</v>
      </c>
      <c r="BA223" s="121" t="s">
        <v>2747</v>
      </c>
      <c r="BB223" s="121" t="s">
        <v>2747</v>
      </c>
      <c r="BC223" s="2"/>
      <c r="BD223" s="3"/>
      <c r="BE223" s="3"/>
      <c r="BF223" s="3"/>
      <c r="BG223" s="3"/>
    </row>
    <row r="224" spans="1:59" ht="15">
      <c r="A224" s="65" t="s">
        <v>436</v>
      </c>
      <c r="B224" s="66"/>
      <c r="C224" s="66"/>
      <c r="D224" s="67">
        <v>80.25882836386393</v>
      </c>
      <c r="E224" s="69"/>
      <c r="F224" s="98" t="str">
        <f>HYPERLINK("https://i.ytimg.com/vi/CxS7gg8go70/default_live.jpg")</f>
        <v>https://i.ytimg.com/vi/CxS7gg8go70/default_live.jpg</v>
      </c>
      <c r="G224" s="66"/>
      <c r="H224" s="70" t="s">
        <v>726</v>
      </c>
      <c r="I224" s="71"/>
      <c r="J224" s="71" t="s">
        <v>159</v>
      </c>
      <c r="K224" s="70" t="s">
        <v>726</v>
      </c>
      <c r="L224" s="74">
        <v>909.9090909090909</v>
      </c>
      <c r="M224" s="75">
        <v>5042.40966796875</v>
      </c>
      <c r="N224" s="75">
        <v>2874.2646484375</v>
      </c>
      <c r="O224" s="76"/>
      <c r="P224" s="77"/>
      <c r="Q224" s="77"/>
      <c r="R224" s="91"/>
      <c r="S224" s="48">
        <v>1</v>
      </c>
      <c r="T224" s="48">
        <v>0</v>
      </c>
      <c r="U224" s="49">
        <v>0</v>
      </c>
      <c r="V224" s="49">
        <v>0.000598</v>
      </c>
      <c r="W224" s="49">
        <v>3.9E-05</v>
      </c>
      <c r="X224" s="49">
        <v>0.541618</v>
      </c>
      <c r="Y224" s="49">
        <v>0</v>
      </c>
      <c r="Z224" s="49">
        <v>0</v>
      </c>
      <c r="AA224" s="72">
        <v>224</v>
      </c>
      <c r="AB224" s="72"/>
      <c r="AC224" s="73"/>
      <c r="AD224" s="88" t="s">
        <v>726</v>
      </c>
      <c r="AE224" s="88" t="s">
        <v>1002</v>
      </c>
      <c r="AF224" s="88"/>
      <c r="AG224" s="88" t="s">
        <v>1397</v>
      </c>
      <c r="AH224" s="88" t="s">
        <v>1645</v>
      </c>
      <c r="AI224" s="88">
        <v>2472</v>
      </c>
      <c r="AJ224" s="88">
        <v>0</v>
      </c>
      <c r="AK224" s="88">
        <v>22</v>
      </c>
      <c r="AL224" s="88">
        <v>3</v>
      </c>
      <c r="AM224" s="88" t="s">
        <v>1705</v>
      </c>
      <c r="AN224" s="100" t="str">
        <f>HYPERLINK("https://www.youtube.com/watch?v=CxS7gg8go70")</f>
        <v>https://www.youtube.com/watch?v=CxS7gg8go70</v>
      </c>
      <c r="AO224" s="88" t="str">
        <f>REPLACE(INDEX(GroupVertices[Group],MATCH(Vertices[[#This Row],[Vertex]],GroupVertices[Vertex],0)),1,1,"")</f>
        <v>8</v>
      </c>
      <c r="AP224" s="48"/>
      <c r="AQ224" s="49"/>
      <c r="AR224" s="48"/>
      <c r="AS224" s="49"/>
      <c r="AT224" s="48"/>
      <c r="AU224" s="49"/>
      <c r="AV224" s="48"/>
      <c r="AW224" s="49"/>
      <c r="AX224" s="48"/>
      <c r="AY224" s="48"/>
      <c r="AZ224" s="48"/>
      <c r="BA224" s="48"/>
      <c r="BB224" s="48"/>
      <c r="BC224" s="2"/>
      <c r="BD224" s="3"/>
      <c r="BE224" s="3"/>
      <c r="BF224" s="3"/>
      <c r="BG224" s="3"/>
    </row>
    <row r="225" spans="1:59" ht="15">
      <c r="A225" s="65" t="s">
        <v>437</v>
      </c>
      <c r="B225" s="66"/>
      <c r="C225" s="66"/>
      <c r="D225" s="67">
        <v>83.2865132533845</v>
      </c>
      <c r="E225" s="69"/>
      <c r="F225" s="98" t="str">
        <f>HYPERLINK("https://i.ytimg.com/vi/bgu1u2sCBN8/default.jpg")</f>
        <v>https://i.ytimg.com/vi/bgu1u2sCBN8/default.jpg</v>
      </c>
      <c r="G225" s="66"/>
      <c r="H225" s="70" t="s">
        <v>727</v>
      </c>
      <c r="I225" s="71"/>
      <c r="J225" s="71" t="s">
        <v>159</v>
      </c>
      <c r="K225" s="70" t="s">
        <v>727</v>
      </c>
      <c r="L225" s="74">
        <v>909.9090909090909</v>
      </c>
      <c r="M225" s="75">
        <v>3798.852294921875</v>
      </c>
      <c r="N225" s="75">
        <v>434.6653137207031</v>
      </c>
      <c r="O225" s="76"/>
      <c r="P225" s="77"/>
      <c r="Q225" s="77"/>
      <c r="R225" s="91"/>
      <c r="S225" s="48">
        <v>1</v>
      </c>
      <c r="T225" s="48">
        <v>0</v>
      </c>
      <c r="U225" s="49">
        <v>0</v>
      </c>
      <c r="V225" s="49">
        <v>0.000598</v>
      </c>
      <c r="W225" s="49">
        <v>3.9E-05</v>
      </c>
      <c r="X225" s="49">
        <v>0.541618</v>
      </c>
      <c r="Y225" s="49">
        <v>0</v>
      </c>
      <c r="Z225" s="49">
        <v>0</v>
      </c>
      <c r="AA225" s="72">
        <v>225</v>
      </c>
      <c r="AB225" s="72"/>
      <c r="AC225" s="73"/>
      <c r="AD225" s="88" t="s">
        <v>727</v>
      </c>
      <c r="AE225" s="88" t="s">
        <v>1003</v>
      </c>
      <c r="AF225" s="88" t="s">
        <v>1261</v>
      </c>
      <c r="AG225" s="88" t="s">
        <v>1396</v>
      </c>
      <c r="AH225" s="88" t="s">
        <v>1646</v>
      </c>
      <c r="AI225" s="88">
        <v>30406</v>
      </c>
      <c r="AJ225" s="88">
        <v>485</v>
      </c>
      <c r="AK225" s="88">
        <v>2704</v>
      </c>
      <c r="AL225" s="88">
        <v>24</v>
      </c>
      <c r="AM225" s="88" t="s">
        <v>1705</v>
      </c>
      <c r="AN225" s="100" t="str">
        <f>HYPERLINK("https://www.youtube.com/watch?v=bgu1u2sCBN8")</f>
        <v>https://www.youtube.com/watch?v=bgu1u2sCBN8</v>
      </c>
      <c r="AO225" s="88" t="str">
        <f>REPLACE(INDEX(GroupVertices[Group],MATCH(Vertices[[#This Row],[Vertex]],GroupVertices[Vertex],0)),1,1,"")</f>
        <v>8</v>
      </c>
      <c r="AP225" s="48">
        <v>0</v>
      </c>
      <c r="AQ225" s="49">
        <v>0</v>
      </c>
      <c r="AR225" s="48">
        <v>0</v>
      </c>
      <c r="AS225" s="49">
        <v>0</v>
      </c>
      <c r="AT225" s="48">
        <v>0</v>
      </c>
      <c r="AU225" s="49">
        <v>0</v>
      </c>
      <c r="AV225" s="48">
        <v>1</v>
      </c>
      <c r="AW225" s="49">
        <v>100</v>
      </c>
      <c r="AX225" s="48">
        <v>1</v>
      </c>
      <c r="AY225" s="48"/>
      <c r="AZ225" s="48"/>
      <c r="BA225" s="48"/>
      <c r="BB225" s="48"/>
      <c r="BC225" s="2"/>
      <c r="BD225" s="3"/>
      <c r="BE225" s="3"/>
      <c r="BF225" s="3"/>
      <c r="BG225" s="3"/>
    </row>
    <row r="226" spans="1:59" ht="15">
      <c r="A226" s="65" t="s">
        <v>438</v>
      </c>
      <c r="B226" s="66"/>
      <c r="C226" s="66"/>
      <c r="D226" s="67">
        <v>99.42231567597727</v>
      </c>
      <c r="E226" s="69"/>
      <c r="F226" s="98" t="str">
        <f>HYPERLINK("https://i.ytimg.com/vi/UcktuOQzd9g/default.jpg")</f>
        <v>https://i.ytimg.com/vi/UcktuOQzd9g/default.jpg</v>
      </c>
      <c r="G226" s="66"/>
      <c r="H226" s="70" t="s">
        <v>728</v>
      </c>
      <c r="I226" s="71"/>
      <c r="J226" s="71" t="s">
        <v>159</v>
      </c>
      <c r="K226" s="70" t="s">
        <v>728</v>
      </c>
      <c r="L226" s="74">
        <v>909.9090909090909</v>
      </c>
      <c r="M226" s="75">
        <v>3322.38525390625</v>
      </c>
      <c r="N226" s="75">
        <v>1495.0689697265625</v>
      </c>
      <c r="O226" s="76"/>
      <c r="P226" s="77"/>
      <c r="Q226" s="77"/>
      <c r="R226" s="91"/>
      <c r="S226" s="48">
        <v>1</v>
      </c>
      <c r="T226" s="48">
        <v>0</v>
      </c>
      <c r="U226" s="49">
        <v>0</v>
      </c>
      <c r="V226" s="49">
        <v>0.000598</v>
      </c>
      <c r="W226" s="49">
        <v>3.9E-05</v>
      </c>
      <c r="X226" s="49">
        <v>0.541618</v>
      </c>
      <c r="Y226" s="49">
        <v>0</v>
      </c>
      <c r="Z226" s="49">
        <v>0</v>
      </c>
      <c r="AA226" s="72">
        <v>226</v>
      </c>
      <c r="AB226" s="72"/>
      <c r="AC226" s="73"/>
      <c r="AD226" s="88" t="s">
        <v>728</v>
      </c>
      <c r="AE226" s="88" t="s">
        <v>1004</v>
      </c>
      <c r="AF226" s="88" t="s">
        <v>1262</v>
      </c>
      <c r="AG226" s="88" t="s">
        <v>1360</v>
      </c>
      <c r="AH226" s="88" t="s">
        <v>1647</v>
      </c>
      <c r="AI226" s="88">
        <v>179278</v>
      </c>
      <c r="AJ226" s="88">
        <v>1408</v>
      </c>
      <c r="AK226" s="88">
        <v>452</v>
      </c>
      <c r="AL226" s="88">
        <v>270</v>
      </c>
      <c r="AM226" s="88" t="s">
        <v>1705</v>
      </c>
      <c r="AN226" s="100" t="str">
        <f>HYPERLINK("https://www.youtube.com/watch?v=UcktuOQzd9g")</f>
        <v>https://www.youtube.com/watch?v=UcktuOQzd9g</v>
      </c>
      <c r="AO226" s="88" t="str">
        <f>REPLACE(INDEX(GroupVertices[Group],MATCH(Vertices[[#This Row],[Vertex]],GroupVertices[Vertex],0)),1,1,"")</f>
        <v>8</v>
      </c>
      <c r="AP226" s="48">
        <v>1</v>
      </c>
      <c r="AQ226" s="49">
        <v>9.090909090909092</v>
      </c>
      <c r="AR226" s="48">
        <v>0</v>
      </c>
      <c r="AS226" s="49">
        <v>0</v>
      </c>
      <c r="AT226" s="48">
        <v>0</v>
      </c>
      <c r="AU226" s="49">
        <v>0</v>
      </c>
      <c r="AV226" s="48">
        <v>10</v>
      </c>
      <c r="AW226" s="49">
        <v>90.9090909090909</v>
      </c>
      <c r="AX226" s="48">
        <v>11</v>
      </c>
      <c r="AY226" s="48"/>
      <c r="AZ226" s="48"/>
      <c r="BA226" s="48"/>
      <c r="BB226" s="48"/>
      <c r="BC226" s="2"/>
      <c r="BD226" s="3"/>
      <c r="BE226" s="3"/>
      <c r="BF226" s="3"/>
      <c r="BG226" s="3"/>
    </row>
    <row r="227" spans="1:59" ht="15">
      <c r="A227" s="65" t="s">
        <v>439</v>
      </c>
      <c r="B227" s="66"/>
      <c r="C227" s="66"/>
      <c r="D227" s="67">
        <v>333.6958017439954</v>
      </c>
      <c r="E227" s="69"/>
      <c r="F227" s="98" t="str">
        <f>HYPERLINK("https://i.ytimg.com/vi/z_nDDebiefE/default.jpg")</f>
        <v>https://i.ytimg.com/vi/z_nDDebiefE/default.jpg</v>
      </c>
      <c r="G227" s="66"/>
      <c r="H227" s="70" t="s">
        <v>729</v>
      </c>
      <c r="I227" s="71"/>
      <c r="J227" s="71" t="s">
        <v>159</v>
      </c>
      <c r="K227" s="70" t="s">
        <v>729</v>
      </c>
      <c r="L227" s="74">
        <v>909.9090909090909</v>
      </c>
      <c r="M227" s="75">
        <v>3832.32861328125</v>
      </c>
      <c r="N227" s="75">
        <v>1535.0350341796875</v>
      </c>
      <c r="O227" s="76"/>
      <c r="P227" s="77"/>
      <c r="Q227" s="77"/>
      <c r="R227" s="91"/>
      <c r="S227" s="48">
        <v>1</v>
      </c>
      <c r="T227" s="48">
        <v>0</v>
      </c>
      <c r="U227" s="49">
        <v>0</v>
      </c>
      <c r="V227" s="49">
        <v>0.000598</v>
      </c>
      <c r="W227" s="49">
        <v>3.9E-05</v>
      </c>
      <c r="X227" s="49">
        <v>0.541618</v>
      </c>
      <c r="Y227" s="49">
        <v>0</v>
      </c>
      <c r="Z227" s="49">
        <v>0</v>
      </c>
      <c r="AA227" s="72">
        <v>227</v>
      </c>
      <c r="AB227" s="72"/>
      <c r="AC227" s="73"/>
      <c r="AD227" s="88" t="s">
        <v>729</v>
      </c>
      <c r="AE227" s="88" t="s">
        <v>1005</v>
      </c>
      <c r="AF227" s="88" t="s">
        <v>1263</v>
      </c>
      <c r="AG227" s="88" t="s">
        <v>1398</v>
      </c>
      <c r="AH227" s="88" t="s">
        <v>1648</v>
      </c>
      <c r="AI227" s="88">
        <v>2340730</v>
      </c>
      <c r="AJ227" s="88">
        <v>9482</v>
      </c>
      <c r="AK227" s="88">
        <v>146534</v>
      </c>
      <c r="AL227" s="88">
        <v>1808</v>
      </c>
      <c r="AM227" s="88" t="s">
        <v>1705</v>
      </c>
      <c r="AN227" s="100" t="str">
        <f>HYPERLINK("https://www.youtube.com/watch?v=z_nDDebiefE")</f>
        <v>https://www.youtube.com/watch?v=z_nDDebiefE</v>
      </c>
      <c r="AO227" s="88" t="str">
        <f>REPLACE(INDEX(GroupVertices[Group],MATCH(Vertices[[#This Row],[Vertex]],GroupVertices[Vertex],0)),1,1,"")</f>
        <v>8</v>
      </c>
      <c r="AP227" s="48">
        <v>0</v>
      </c>
      <c r="AQ227" s="49">
        <v>0</v>
      </c>
      <c r="AR227" s="48">
        <v>0</v>
      </c>
      <c r="AS227" s="49">
        <v>0</v>
      </c>
      <c r="AT227" s="48">
        <v>0</v>
      </c>
      <c r="AU227" s="49">
        <v>0</v>
      </c>
      <c r="AV227" s="48">
        <v>18</v>
      </c>
      <c r="AW227" s="49">
        <v>100</v>
      </c>
      <c r="AX227" s="48">
        <v>18</v>
      </c>
      <c r="AY227" s="48"/>
      <c r="AZ227" s="48"/>
      <c r="BA227" s="48"/>
      <c r="BB227" s="48"/>
      <c r="BC227" s="2"/>
      <c r="BD227" s="3"/>
      <c r="BE227" s="3"/>
      <c r="BF227" s="3"/>
      <c r="BG227" s="3"/>
    </row>
    <row r="228" spans="1:59" ht="15">
      <c r="A228" s="65" t="s">
        <v>440</v>
      </c>
      <c r="B228" s="66"/>
      <c r="C228" s="66"/>
      <c r="D228" s="67">
        <v>150.80267235431833</v>
      </c>
      <c r="E228" s="69"/>
      <c r="F228" s="98" t="str">
        <f>HYPERLINK("https://i.ytimg.com/vi/xXjsn9L-SGI/default.jpg")</f>
        <v>https://i.ytimg.com/vi/xXjsn9L-SGI/default.jpg</v>
      </c>
      <c r="G228" s="66"/>
      <c r="H228" s="70" t="s">
        <v>730</v>
      </c>
      <c r="I228" s="71"/>
      <c r="J228" s="71" t="s">
        <v>159</v>
      </c>
      <c r="K228" s="70" t="s">
        <v>730</v>
      </c>
      <c r="L228" s="74">
        <v>909.9090909090909</v>
      </c>
      <c r="M228" s="75">
        <v>5657.6083984375</v>
      </c>
      <c r="N228" s="75">
        <v>1414.4991455078125</v>
      </c>
      <c r="O228" s="76"/>
      <c r="P228" s="77"/>
      <c r="Q228" s="77"/>
      <c r="R228" s="91"/>
      <c r="S228" s="48">
        <v>1</v>
      </c>
      <c r="T228" s="48">
        <v>0</v>
      </c>
      <c r="U228" s="49">
        <v>0</v>
      </c>
      <c r="V228" s="49">
        <v>0.000598</v>
      </c>
      <c r="W228" s="49">
        <v>3.9E-05</v>
      </c>
      <c r="X228" s="49">
        <v>0.541618</v>
      </c>
      <c r="Y228" s="49">
        <v>0</v>
      </c>
      <c r="Z228" s="49">
        <v>0</v>
      </c>
      <c r="AA228" s="72">
        <v>228</v>
      </c>
      <c r="AB228" s="72"/>
      <c r="AC228" s="73"/>
      <c r="AD228" s="88" t="s">
        <v>730</v>
      </c>
      <c r="AE228" s="88" t="s">
        <v>1006</v>
      </c>
      <c r="AF228" s="88" t="s">
        <v>1264</v>
      </c>
      <c r="AG228" s="88" t="s">
        <v>1330</v>
      </c>
      <c r="AH228" s="88" t="s">
        <v>1649</v>
      </c>
      <c r="AI228" s="88">
        <v>653323</v>
      </c>
      <c r="AJ228" s="88">
        <v>0</v>
      </c>
      <c r="AK228" s="88">
        <v>2650</v>
      </c>
      <c r="AL228" s="88">
        <v>664</v>
      </c>
      <c r="AM228" s="88" t="s">
        <v>1705</v>
      </c>
      <c r="AN228" s="100" t="str">
        <f>HYPERLINK("https://www.youtube.com/watch?v=xXjsn9L-SGI")</f>
        <v>https://www.youtube.com/watch?v=xXjsn9L-SGI</v>
      </c>
      <c r="AO228" s="88" t="str">
        <f>REPLACE(INDEX(GroupVertices[Group],MATCH(Vertices[[#This Row],[Vertex]],GroupVertices[Vertex],0)),1,1,"")</f>
        <v>8</v>
      </c>
      <c r="AP228" s="48">
        <v>0</v>
      </c>
      <c r="AQ228" s="49">
        <v>0</v>
      </c>
      <c r="AR228" s="48">
        <v>2</v>
      </c>
      <c r="AS228" s="49">
        <v>5.714285714285714</v>
      </c>
      <c r="AT228" s="48">
        <v>0</v>
      </c>
      <c r="AU228" s="49">
        <v>0</v>
      </c>
      <c r="AV228" s="48">
        <v>33</v>
      </c>
      <c r="AW228" s="49">
        <v>94.28571428571429</v>
      </c>
      <c r="AX228" s="48">
        <v>35</v>
      </c>
      <c r="AY228" s="48"/>
      <c r="AZ228" s="48"/>
      <c r="BA228" s="48"/>
      <c r="BB228" s="48"/>
      <c r="BC228" s="2"/>
      <c r="BD228" s="3"/>
      <c r="BE228" s="3"/>
      <c r="BF228" s="3"/>
      <c r="BG228" s="3"/>
    </row>
    <row r="229" spans="1:59" ht="15">
      <c r="A229" s="65" t="s">
        <v>441</v>
      </c>
      <c r="B229" s="66"/>
      <c r="C229" s="66"/>
      <c r="D229" s="67">
        <v>976.0223918296871</v>
      </c>
      <c r="E229" s="69"/>
      <c r="F229" s="98" t="str">
        <f>HYPERLINK("https://i.ytimg.com/vi/OAbP-V6fEVc/default.jpg")</f>
        <v>https://i.ytimg.com/vi/OAbP-V6fEVc/default.jpg</v>
      </c>
      <c r="G229" s="66"/>
      <c r="H229" s="70" t="s">
        <v>731</v>
      </c>
      <c r="I229" s="71"/>
      <c r="J229" s="71" t="s">
        <v>159</v>
      </c>
      <c r="K229" s="70" t="s">
        <v>731</v>
      </c>
      <c r="L229" s="74">
        <v>909.9090909090909</v>
      </c>
      <c r="M229" s="75">
        <v>4278.3603515625</v>
      </c>
      <c r="N229" s="75">
        <v>224.3999481201172</v>
      </c>
      <c r="O229" s="76"/>
      <c r="P229" s="77"/>
      <c r="Q229" s="77"/>
      <c r="R229" s="91"/>
      <c r="S229" s="48">
        <v>1</v>
      </c>
      <c r="T229" s="48">
        <v>0</v>
      </c>
      <c r="U229" s="49">
        <v>0</v>
      </c>
      <c r="V229" s="49">
        <v>0.000598</v>
      </c>
      <c r="W229" s="49">
        <v>3.9E-05</v>
      </c>
      <c r="X229" s="49">
        <v>0.541618</v>
      </c>
      <c r="Y229" s="49">
        <v>0</v>
      </c>
      <c r="Z229" s="49">
        <v>0</v>
      </c>
      <c r="AA229" s="72">
        <v>229</v>
      </c>
      <c r="AB229" s="72"/>
      <c r="AC229" s="73"/>
      <c r="AD229" s="88" t="s">
        <v>731</v>
      </c>
      <c r="AE229" s="88" t="s">
        <v>1007</v>
      </c>
      <c r="AF229" s="88"/>
      <c r="AG229" s="88" t="s">
        <v>1399</v>
      </c>
      <c r="AH229" s="88" t="s">
        <v>1650</v>
      </c>
      <c r="AI229" s="88">
        <v>8266958</v>
      </c>
      <c r="AJ229" s="88">
        <v>88423</v>
      </c>
      <c r="AK229" s="88">
        <v>709009</v>
      </c>
      <c r="AL229" s="88">
        <v>7073</v>
      </c>
      <c r="AM229" s="88" t="s">
        <v>1705</v>
      </c>
      <c r="AN229" s="100" t="str">
        <f>HYPERLINK("https://www.youtube.com/watch?v=OAbP-V6fEVc")</f>
        <v>https://www.youtube.com/watch?v=OAbP-V6fEVc</v>
      </c>
      <c r="AO229" s="88" t="str">
        <f>REPLACE(INDEX(GroupVertices[Group],MATCH(Vertices[[#This Row],[Vertex]],GroupVertices[Vertex],0)),1,1,"")</f>
        <v>8</v>
      </c>
      <c r="AP229" s="48"/>
      <c r="AQ229" s="49"/>
      <c r="AR229" s="48"/>
      <c r="AS229" s="49"/>
      <c r="AT229" s="48"/>
      <c r="AU229" s="49"/>
      <c r="AV229" s="48"/>
      <c r="AW229" s="49"/>
      <c r="AX229" s="48"/>
      <c r="AY229" s="48"/>
      <c r="AZ229" s="48"/>
      <c r="BA229" s="48"/>
      <c r="BB229" s="48"/>
      <c r="BC229" s="2"/>
      <c r="BD229" s="3"/>
      <c r="BE229" s="3"/>
      <c r="BF229" s="3"/>
      <c r="BG229" s="3"/>
    </row>
    <row r="230" spans="1:59" ht="15">
      <c r="A230" s="65" t="s">
        <v>442</v>
      </c>
      <c r="B230" s="66"/>
      <c r="C230" s="66"/>
      <c r="D230" s="67">
        <v>88.48996052825039</v>
      </c>
      <c r="E230" s="69"/>
      <c r="F230" s="98" t="str">
        <f>HYPERLINK("https://i.ytimg.com/vi/tuoM3QGSUhM/default.jpg")</f>
        <v>https://i.ytimg.com/vi/tuoM3QGSUhM/default.jpg</v>
      </c>
      <c r="G230" s="66"/>
      <c r="H230" s="70" t="s">
        <v>732</v>
      </c>
      <c r="I230" s="71"/>
      <c r="J230" s="71" t="s">
        <v>159</v>
      </c>
      <c r="K230" s="70" t="s">
        <v>732</v>
      </c>
      <c r="L230" s="74">
        <v>909.9090909090909</v>
      </c>
      <c r="M230" s="75">
        <v>5538.14697265625</v>
      </c>
      <c r="N230" s="75">
        <v>845.1130981445312</v>
      </c>
      <c r="O230" s="76"/>
      <c r="P230" s="77"/>
      <c r="Q230" s="77"/>
      <c r="R230" s="91"/>
      <c r="S230" s="48">
        <v>1</v>
      </c>
      <c r="T230" s="48">
        <v>0</v>
      </c>
      <c r="U230" s="49">
        <v>0</v>
      </c>
      <c r="V230" s="49">
        <v>0.000598</v>
      </c>
      <c r="W230" s="49">
        <v>3.9E-05</v>
      </c>
      <c r="X230" s="49">
        <v>0.541618</v>
      </c>
      <c r="Y230" s="49">
        <v>0</v>
      </c>
      <c r="Z230" s="49">
        <v>0</v>
      </c>
      <c r="AA230" s="72">
        <v>230</v>
      </c>
      <c r="AB230" s="72"/>
      <c r="AC230" s="73"/>
      <c r="AD230" s="88" t="s">
        <v>732</v>
      </c>
      <c r="AE230" s="88" t="s">
        <v>1008</v>
      </c>
      <c r="AF230" s="88" t="s">
        <v>1261</v>
      </c>
      <c r="AG230" s="88" t="s">
        <v>1396</v>
      </c>
      <c r="AH230" s="88" t="s">
        <v>1651</v>
      </c>
      <c r="AI230" s="88">
        <v>78414</v>
      </c>
      <c r="AJ230" s="88">
        <v>4390</v>
      </c>
      <c r="AK230" s="88">
        <v>3406</v>
      </c>
      <c r="AL230" s="88">
        <v>410</v>
      </c>
      <c r="AM230" s="88" t="s">
        <v>1705</v>
      </c>
      <c r="AN230" s="100" t="str">
        <f>HYPERLINK("https://www.youtube.com/watch?v=tuoM3QGSUhM")</f>
        <v>https://www.youtube.com/watch?v=tuoM3QGSUhM</v>
      </c>
      <c r="AO230" s="88" t="str">
        <f>REPLACE(INDEX(GroupVertices[Group],MATCH(Vertices[[#This Row],[Vertex]],GroupVertices[Vertex],0)),1,1,"")</f>
        <v>8</v>
      </c>
      <c r="AP230" s="48">
        <v>0</v>
      </c>
      <c r="AQ230" s="49">
        <v>0</v>
      </c>
      <c r="AR230" s="48">
        <v>0</v>
      </c>
      <c r="AS230" s="49">
        <v>0</v>
      </c>
      <c r="AT230" s="48">
        <v>0</v>
      </c>
      <c r="AU230" s="49">
        <v>0</v>
      </c>
      <c r="AV230" s="48">
        <v>1</v>
      </c>
      <c r="AW230" s="49">
        <v>100</v>
      </c>
      <c r="AX230" s="48">
        <v>1</v>
      </c>
      <c r="AY230" s="48"/>
      <c r="AZ230" s="48"/>
      <c r="BA230" s="48"/>
      <c r="BB230" s="48"/>
      <c r="BC230" s="2"/>
      <c r="BD230" s="3"/>
      <c r="BE230" s="3"/>
      <c r="BF230" s="3"/>
      <c r="BG230" s="3"/>
    </row>
    <row r="231" spans="1:59" ht="15">
      <c r="A231" s="65" t="s">
        <v>443</v>
      </c>
      <c r="B231" s="66"/>
      <c r="C231" s="66"/>
      <c r="D231" s="67">
        <v>82.58969267077093</v>
      </c>
      <c r="E231" s="69"/>
      <c r="F231" s="98" t="str">
        <f>HYPERLINK("https://i.ytimg.com/vi/vA2gdq1iXFs/default.jpg")</f>
        <v>https://i.ytimg.com/vi/vA2gdq1iXFs/default.jpg</v>
      </c>
      <c r="G231" s="66"/>
      <c r="H231" s="70" t="s">
        <v>733</v>
      </c>
      <c r="I231" s="71"/>
      <c r="J231" s="71" t="s">
        <v>159</v>
      </c>
      <c r="K231" s="70" t="s">
        <v>733</v>
      </c>
      <c r="L231" s="74">
        <v>909.9090909090909</v>
      </c>
      <c r="M231" s="75">
        <v>4279.5068359375</v>
      </c>
      <c r="N231" s="75">
        <v>801.604248046875</v>
      </c>
      <c r="O231" s="76"/>
      <c r="P231" s="77"/>
      <c r="Q231" s="77"/>
      <c r="R231" s="91"/>
      <c r="S231" s="48">
        <v>1</v>
      </c>
      <c r="T231" s="48">
        <v>0</v>
      </c>
      <c r="U231" s="49">
        <v>0</v>
      </c>
      <c r="V231" s="49">
        <v>0.000598</v>
      </c>
      <c r="W231" s="49">
        <v>3.9E-05</v>
      </c>
      <c r="X231" s="49">
        <v>0.541618</v>
      </c>
      <c r="Y231" s="49">
        <v>0</v>
      </c>
      <c r="Z231" s="49">
        <v>0</v>
      </c>
      <c r="AA231" s="72">
        <v>231</v>
      </c>
      <c r="AB231" s="72"/>
      <c r="AC231" s="73"/>
      <c r="AD231" s="88" t="s">
        <v>733</v>
      </c>
      <c r="AE231" s="88" t="s">
        <v>1009</v>
      </c>
      <c r="AF231" s="88" t="s">
        <v>1261</v>
      </c>
      <c r="AG231" s="88" t="s">
        <v>1396</v>
      </c>
      <c r="AH231" s="88" t="s">
        <v>1652</v>
      </c>
      <c r="AI231" s="88">
        <v>23977</v>
      </c>
      <c r="AJ231" s="88">
        <v>586</v>
      </c>
      <c r="AK231" s="88">
        <v>2438</v>
      </c>
      <c r="AL231" s="88">
        <v>17</v>
      </c>
      <c r="AM231" s="88" t="s">
        <v>1705</v>
      </c>
      <c r="AN231" s="100" t="str">
        <f>HYPERLINK("https://www.youtube.com/watch?v=vA2gdq1iXFs")</f>
        <v>https://www.youtube.com/watch?v=vA2gdq1iXFs</v>
      </c>
      <c r="AO231" s="88" t="str">
        <f>REPLACE(INDEX(GroupVertices[Group],MATCH(Vertices[[#This Row],[Vertex]],GroupVertices[Vertex],0)),1,1,"")</f>
        <v>8</v>
      </c>
      <c r="AP231" s="48">
        <v>0</v>
      </c>
      <c r="AQ231" s="49">
        <v>0</v>
      </c>
      <c r="AR231" s="48">
        <v>0</v>
      </c>
      <c r="AS231" s="49">
        <v>0</v>
      </c>
      <c r="AT231" s="48">
        <v>0</v>
      </c>
      <c r="AU231" s="49">
        <v>0</v>
      </c>
      <c r="AV231" s="48">
        <v>1</v>
      </c>
      <c r="AW231" s="49">
        <v>100</v>
      </c>
      <c r="AX231" s="48">
        <v>1</v>
      </c>
      <c r="AY231" s="48"/>
      <c r="AZ231" s="48"/>
      <c r="BA231" s="48"/>
      <c r="BB231" s="48"/>
      <c r="BC231" s="2"/>
      <c r="BD231" s="3"/>
      <c r="BE231" s="3"/>
      <c r="BF231" s="3"/>
      <c r="BG231" s="3"/>
    </row>
    <row r="232" spans="1:59" ht="15">
      <c r="A232" s="65" t="s">
        <v>444</v>
      </c>
      <c r="B232" s="66"/>
      <c r="C232" s="66"/>
      <c r="D232" s="67">
        <v>118.10911657926583</v>
      </c>
      <c r="E232" s="69"/>
      <c r="F232" s="98" t="str">
        <f>HYPERLINK("https://i.ytimg.com/vi/lf6yBeXmzCo/default.jpg")</f>
        <v>https://i.ytimg.com/vi/lf6yBeXmzCo/default.jpg</v>
      </c>
      <c r="G232" s="66"/>
      <c r="H232" s="70" t="s">
        <v>734</v>
      </c>
      <c r="I232" s="71"/>
      <c r="J232" s="71" t="s">
        <v>159</v>
      </c>
      <c r="K232" s="70" t="s">
        <v>734</v>
      </c>
      <c r="L232" s="74">
        <v>909.9090909090909</v>
      </c>
      <c r="M232" s="75">
        <v>5444.46875</v>
      </c>
      <c r="N232" s="75">
        <v>2505.11376953125</v>
      </c>
      <c r="O232" s="76"/>
      <c r="P232" s="77"/>
      <c r="Q232" s="77"/>
      <c r="R232" s="91"/>
      <c r="S232" s="48">
        <v>1</v>
      </c>
      <c r="T232" s="48">
        <v>0</v>
      </c>
      <c r="U232" s="49">
        <v>0</v>
      </c>
      <c r="V232" s="49">
        <v>0.000598</v>
      </c>
      <c r="W232" s="49">
        <v>3.9E-05</v>
      </c>
      <c r="X232" s="49">
        <v>0.541618</v>
      </c>
      <c r="Y232" s="49">
        <v>0</v>
      </c>
      <c r="Z232" s="49">
        <v>0</v>
      </c>
      <c r="AA232" s="72">
        <v>232</v>
      </c>
      <c r="AB232" s="72"/>
      <c r="AC232" s="73"/>
      <c r="AD232" s="88" t="s">
        <v>734</v>
      </c>
      <c r="AE232" s="88" t="s">
        <v>1010</v>
      </c>
      <c r="AF232" s="88" t="s">
        <v>1265</v>
      </c>
      <c r="AG232" s="88" t="s">
        <v>1400</v>
      </c>
      <c r="AH232" s="88" t="s">
        <v>1653</v>
      </c>
      <c r="AI232" s="88">
        <v>351686</v>
      </c>
      <c r="AJ232" s="88">
        <v>4669</v>
      </c>
      <c r="AK232" s="88">
        <v>23079</v>
      </c>
      <c r="AL232" s="88">
        <v>1019</v>
      </c>
      <c r="AM232" s="88" t="s">
        <v>1705</v>
      </c>
      <c r="AN232" s="100" t="str">
        <f>HYPERLINK("https://www.youtube.com/watch?v=lf6yBeXmzCo")</f>
        <v>https://www.youtube.com/watch?v=lf6yBeXmzCo</v>
      </c>
      <c r="AO232" s="88" t="str">
        <f>REPLACE(INDEX(GroupVertices[Group],MATCH(Vertices[[#This Row],[Vertex]],GroupVertices[Vertex],0)),1,1,"")</f>
        <v>8</v>
      </c>
      <c r="AP232" s="48">
        <v>1</v>
      </c>
      <c r="AQ232" s="49">
        <v>2.0408163265306123</v>
      </c>
      <c r="AR232" s="48">
        <v>5</v>
      </c>
      <c r="AS232" s="49">
        <v>10.204081632653061</v>
      </c>
      <c r="AT232" s="48">
        <v>0</v>
      </c>
      <c r="AU232" s="49">
        <v>0</v>
      </c>
      <c r="AV232" s="48">
        <v>43</v>
      </c>
      <c r="AW232" s="49">
        <v>87.75510204081633</v>
      </c>
      <c r="AX232" s="48">
        <v>49</v>
      </c>
      <c r="AY232" s="48"/>
      <c r="AZ232" s="48"/>
      <c r="BA232" s="48"/>
      <c r="BB232" s="48"/>
      <c r="BC232" s="2"/>
      <c r="BD232" s="3"/>
      <c r="BE232" s="3"/>
      <c r="BF232" s="3"/>
      <c r="BG232" s="3"/>
    </row>
    <row r="233" spans="1:59" ht="15">
      <c r="A233" s="65" t="s">
        <v>445</v>
      </c>
      <c r="B233" s="66"/>
      <c r="C233" s="66"/>
      <c r="D233" s="67">
        <v>1000</v>
      </c>
      <c r="E233" s="69"/>
      <c r="F233" s="98" t="str">
        <f>HYPERLINK("https://i.ytimg.com/vi/kSjXOebB7eI/default.jpg")</f>
        <v>https://i.ytimg.com/vi/kSjXOebB7eI/default.jpg</v>
      </c>
      <c r="G233" s="66"/>
      <c r="H233" s="70" t="s">
        <v>735</v>
      </c>
      <c r="I233" s="71"/>
      <c r="J233" s="71" t="s">
        <v>159</v>
      </c>
      <c r="K233" s="70" t="s">
        <v>735</v>
      </c>
      <c r="L233" s="74">
        <v>909.9090909090909</v>
      </c>
      <c r="M233" s="75">
        <v>4231.04736328125</v>
      </c>
      <c r="N233" s="75">
        <v>2342.5419921875</v>
      </c>
      <c r="O233" s="76"/>
      <c r="P233" s="77"/>
      <c r="Q233" s="77"/>
      <c r="R233" s="91"/>
      <c r="S233" s="48">
        <v>1</v>
      </c>
      <c r="T233" s="48">
        <v>0</v>
      </c>
      <c r="U233" s="49">
        <v>0</v>
      </c>
      <c r="V233" s="49">
        <v>0.000598</v>
      </c>
      <c r="W233" s="49">
        <v>3.9E-05</v>
      </c>
      <c r="X233" s="49">
        <v>0.541618</v>
      </c>
      <c r="Y233" s="49">
        <v>0</v>
      </c>
      <c r="Z233" s="49">
        <v>0</v>
      </c>
      <c r="AA233" s="72">
        <v>233</v>
      </c>
      <c r="AB233" s="72"/>
      <c r="AC233" s="73"/>
      <c r="AD233" s="88" t="s">
        <v>735</v>
      </c>
      <c r="AE233" s="88" t="s">
        <v>1011</v>
      </c>
      <c r="AF233" s="88" t="s">
        <v>1266</v>
      </c>
      <c r="AG233" s="88" t="s">
        <v>1401</v>
      </c>
      <c r="AH233" s="88" t="s">
        <v>1654</v>
      </c>
      <c r="AI233" s="88">
        <v>23006168</v>
      </c>
      <c r="AJ233" s="88">
        <v>1473</v>
      </c>
      <c r="AK233" s="88">
        <v>110505</v>
      </c>
      <c r="AL233" s="88">
        <v>3394</v>
      </c>
      <c r="AM233" s="88" t="s">
        <v>1705</v>
      </c>
      <c r="AN233" s="100" t="str">
        <f>HYPERLINK("https://www.youtube.com/watch?v=kSjXOebB7eI")</f>
        <v>https://www.youtube.com/watch?v=kSjXOebB7eI</v>
      </c>
      <c r="AO233" s="88" t="str">
        <f>REPLACE(INDEX(GroupVertices[Group],MATCH(Vertices[[#This Row],[Vertex]],GroupVertices[Vertex],0)),1,1,"")</f>
        <v>8</v>
      </c>
      <c r="AP233" s="48">
        <v>0</v>
      </c>
      <c r="AQ233" s="49">
        <v>0</v>
      </c>
      <c r="AR233" s="48">
        <v>0</v>
      </c>
      <c r="AS233" s="49">
        <v>0</v>
      </c>
      <c r="AT233" s="48">
        <v>0</v>
      </c>
      <c r="AU233" s="49">
        <v>0</v>
      </c>
      <c r="AV233" s="48">
        <v>22</v>
      </c>
      <c r="AW233" s="49">
        <v>100</v>
      </c>
      <c r="AX233" s="48">
        <v>22</v>
      </c>
      <c r="AY233" s="48"/>
      <c r="AZ233" s="48"/>
      <c r="BA233" s="48"/>
      <c r="BB233" s="48"/>
      <c r="BC233" s="2"/>
      <c r="BD233" s="3"/>
      <c r="BE233" s="3"/>
      <c r="BF233" s="3"/>
      <c r="BG233" s="3"/>
    </row>
    <row r="234" spans="1:59" ht="15">
      <c r="A234" s="65" t="s">
        <v>446</v>
      </c>
      <c r="B234" s="66"/>
      <c r="C234" s="66"/>
      <c r="D234" s="67">
        <v>82.39502946243775</v>
      </c>
      <c r="E234" s="69"/>
      <c r="F234" s="98" t="str">
        <f>HYPERLINK("https://i.ytimg.com/vi/UxB6gLeC3xc/default.jpg")</f>
        <v>https://i.ytimg.com/vi/UxB6gLeC3xc/default.jpg</v>
      </c>
      <c r="G234" s="66"/>
      <c r="H234" s="70" t="s">
        <v>736</v>
      </c>
      <c r="I234" s="71"/>
      <c r="J234" s="71" t="s">
        <v>159</v>
      </c>
      <c r="K234" s="70" t="s">
        <v>736</v>
      </c>
      <c r="L234" s="74">
        <v>909.9090909090909</v>
      </c>
      <c r="M234" s="75">
        <v>4114.08154296875</v>
      </c>
      <c r="N234" s="75">
        <v>2976.622314453125</v>
      </c>
      <c r="O234" s="76"/>
      <c r="P234" s="77"/>
      <c r="Q234" s="77"/>
      <c r="R234" s="91"/>
      <c r="S234" s="48">
        <v>1</v>
      </c>
      <c r="T234" s="48">
        <v>0</v>
      </c>
      <c r="U234" s="49">
        <v>0</v>
      </c>
      <c r="V234" s="49">
        <v>0.000598</v>
      </c>
      <c r="W234" s="49">
        <v>3.9E-05</v>
      </c>
      <c r="X234" s="49">
        <v>0.541618</v>
      </c>
      <c r="Y234" s="49">
        <v>0</v>
      </c>
      <c r="Z234" s="49">
        <v>0</v>
      </c>
      <c r="AA234" s="72">
        <v>234</v>
      </c>
      <c r="AB234" s="72"/>
      <c r="AC234" s="73"/>
      <c r="AD234" s="88" t="s">
        <v>736</v>
      </c>
      <c r="AE234" s="88" t="s">
        <v>1012</v>
      </c>
      <c r="AF234" s="88" t="s">
        <v>1267</v>
      </c>
      <c r="AG234" s="88" t="s">
        <v>1396</v>
      </c>
      <c r="AH234" s="88" t="s">
        <v>1655</v>
      </c>
      <c r="AI234" s="88">
        <v>22181</v>
      </c>
      <c r="AJ234" s="88">
        <v>449</v>
      </c>
      <c r="AK234" s="88">
        <v>1879</v>
      </c>
      <c r="AL234" s="88">
        <v>15</v>
      </c>
      <c r="AM234" s="88" t="s">
        <v>1705</v>
      </c>
      <c r="AN234" s="100" t="str">
        <f>HYPERLINK("https://www.youtube.com/watch?v=UxB6gLeC3xc")</f>
        <v>https://www.youtube.com/watch?v=UxB6gLeC3xc</v>
      </c>
      <c r="AO234" s="88" t="str">
        <f>REPLACE(INDEX(GroupVertices[Group],MATCH(Vertices[[#This Row],[Vertex]],GroupVertices[Vertex],0)),1,1,"")</f>
        <v>8</v>
      </c>
      <c r="AP234" s="48">
        <v>0</v>
      </c>
      <c r="AQ234" s="49">
        <v>0</v>
      </c>
      <c r="AR234" s="48">
        <v>0</v>
      </c>
      <c r="AS234" s="49">
        <v>0</v>
      </c>
      <c r="AT234" s="48">
        <v>0</v>
      </c>
      <c r="AU234" s="49">
        <v>0</v>
      </c>
      <c r="AV234" s="48">
        <v>4</v>
      </c>
      <c r="AW234" s="49">
        <v>100</v>
      </c>
      <c r="AX234" s="48">
        <v>4</v>
      </c>
      <c r="AY234" s="48"/>
      <c r="AZ234" s="48"/>
      <c r="BA234" s="48"/>
      <c r="BB234" s="48"/>
      <c r="BC234" s="2"/>
      <c r="BD234" s="3"/>
      <c r="BE234" s="3"/>
      <c r="BF234" s="3"/>
      <c r="BG234" s="3"/>
    </row>
    <row r="235" spans="1:59" ht="15">
      <c r="A235" s="65" t="s">
        <v>447</v>
      </c>
      <c r="B235" s="66"/>
      <c r="C235" s="66"/>
      <c r="D235" s="67">
        <v>634.2034444473767</v>
      </c>
      <c r="E235" s="69"/>
      <c r="F235" s="98" t="str">
        <f>HYPERLINK("https://i.ytimg.com/vi/WQptarOLSBU/default.jpg")</f>
        <v>https://i.ytimg.com/vi/WQptarOLSBU/default.jpg</v>
      </c>
      <c r="G235" s="66"/>
      <c r="H235" s="70" t="s">
        <v>737</v>
      </c>
      <c r="I235" s="71"/>
      <c r="J235" s="71" t="s">
        <v>159</v>
      </c>
      <c r="K235" s="70" t="s">
        <v>737</v>
      </c>
      <c r="L235" s="74">
        <v>909.9090909090909</v>
      </c>
      <c r="M235" s="75">
        <v>4758.39013671875</v>
      </c>
      <c r="N235" s="75">
        <v>205.71994018554688</v>
      </c>
      <c r="O235" s="76"/>
      <c r="P235" s="77"/>
      <c r="Q235" s="77"/>
      <c r="R235" s="91"/>
      <c r="S235" s="48">
        <v>1</v>
      </c>
      <c r="T235" s="48">
        <v>0</v>
      </c>
      <c r="U235" s="49">
        <v>0</v>
      </c>
      <c r="V235" s="49">
        <v>0.000598</v>
      </c>
      <c r="W235" s="49">
        <v>3.9E-05</v>
      </c>
      <c r="X235" s="49">
        <v>0.541618</v>
      </c>
      <c r="Y235" s="49">
        <v>0</v>
      </c>
      <c r="Z235" s="49">
        <v>0</v>
      </c>
      <c r="AA235" s="72">
        <v>235</v>
      </c>
      <c r="AB235" s="72"/>
      <c r="AC235" s="73"/>
      <c r="AD235" s="88" t="s">
        <v>737</v>
      </c>
      <c r="AE235" s="88" t="s">
        <v>1013</v>
      </c>
      <c r="AF235" s="88" t="s">
        <v>1268</v>
      </c>
      <c r="AG235" s="88" t="s">
        <v>1402</v>
      </c>
      <c r="AH235" s="88" t="s">
        <v>1656</v>
      </c>
      <c r="AI235" s="88">
        <v>5113271</v>
      </c>
      <c r="AJ235" s="88">
        <v>53967</v>
      </c>
      <c r="AK235" s="88">
        <v>119536</v>
      </c>
      <c r="AL235" s="88">
        <v>7385</v>
      </c>
      <c r="AM235" s="88" t="s">
        <v>1705</v>
      </c>
      <c r="AN235" s="100" t="str">
        <f>HYPERLINK("https://www.youtube.com/watch?v=WQptarOLSBU")</f>
        <v>https://www.youtube.com/watch?v=WQptarOLSBU</v>
      </c>
      <c r="AO235" s="88" t="str">
        <f>REPLACE(INDEX(GroupVertices[Group],MATCH(Vertices[[#This Row],[Vertex]],GroupVertices[Vertex],0)),1,1,"")</f>
        <v>8</v>
      </c>
      <c r="AP235" s="48">
        <v>1</v>
      </c>
      <c r="AQ235" s="49">
        <v>1.7241379310344827</v>
      </c>
      <c r="AR235" s="48">
        <v>3</v>
      </c>
      <c r="AS235" s="49">
        <v>5.172413793103448</v>
      </c>
      <c r="AT235" s="48">
        <v>0</v>
      </c>
      <c r="AU235" s="49">
        <v>0</v>
      </c>
      <c r="AV235" s="48">
        <v>54</v>
      </c>
      <c r="AW235" s="49">
        <v>93.10344827586206</v>
      </c>
      <c r="AX235" s="48">
        <v>58</v>
      </c>
      <c r="AY235" s="48"/>
      <c r="AZ235" s="48"/>
      <c r="BA235" s="48"/>
      <c r="BB235" s="48"/>
      <c r="BC235" s="2"/>
      <c r="BD235" s="3"/>
      <c r="BE235" s="3"/>
      <c r="BF235" s="3"/>
      <c r="BG235" s="3"/>
    </row>
    <row r="236" spans="1:59" ht="15">
      <c r="A236" s="65" t="s">
        <v>448</v>
      </c>
      <c r="B236" s="66"/>
      <c r="C236" s="66"/>
      <c r="D236" s="67">
        <v>91.83695377620612</v>
      </c>
      <c r="E236" s="69"/>
      <c r="F236" s="98" t="str">
        <f>HYPERLINK("https://i.ytimg.com/vi/bazFR9T9NBA/default.jpg")</f>
        <v>https://i.ytimg.com/vi/bazFR9T9NBA/default.jpg</v>
      </c>
      <c r="G236" s="66"/>
      <c r="H236" s="70" t="s">
        <v>738</v>
      </c>
      <c r="I236" s="71"/>
      <c r="J236" s="71" t="s">
        <v>159</v>
      </c>
      <c r="K236" s="70" t="s">
        <v>738</v>
      </c>
      <c r="L236" s="74">
        <v>909.9090909090909</v>
      </c>
      <c r="M236" s="75">
        <v>3439.702392578125</v>
      </c>
      <c r="N236" s="75">
        <v>2118.646484375</v>
      </c>
      <c r="O236" s="76"/>
      <c r="P236" s="77"/>
      <c r="Q236" s="77"/>
      <c r="R236" s="91"/>
      <c r="S236" s="48">
        <v>1</v>
      </c>
      <c r="T236" s="48">
        <v>0</v>
      </c>
      <c r="U236" s="49">
        <v>0</v>
      </c>
      <c r="V236" s="49">
        <v>0.000598</v>
      </c>
      <c r="W236" s="49">
        <v>3.9E-05</v>
      </c>
      <c r="X236" s="49">
        <v>0.541618</v>
      </c>
      <c r="Y236" s="49">
        <v>0</v>
      </c>
      <c r="Z236" s="49">
        <v>0</v>
      </c>
      <c r="AA236" s="72">
        <v>236</v>
      </c>
      <c r="AB236" s="72"/>
      <c r="AC236" s="73"/>
      <c r="AD236" s="88" t="s">
        <v>738</v>
      </c>
      <c r="AE236" s="88" t="s">
        <v>1014</v>
      </c>
      <c r="AF236" s="88" t="s">
        <v>1269</v>
      </c>
      <c r="AG236" s="88" t="s">
        <v>1378</v>
      </c>
      <c r="AH236" s="88" t="s">
        <v>1657</v>
      </c>
      <c r="AI236" s="88">
        <v>109294</v>
      </c>
      <c r="AJ236" s="88">
        <v>1765</v>
      </c>
      <c r="AK236" s="88">
        <v>1397</v>
      </c>
      <c r="AL236" s="88">
        <v>426</v>
      </c>
      <c r="AM236" s="88" t="s">
        <v>1705</v>
      </c>
      <c r="AN236" s="100" t="str">
        <f>HYPERLINK("https://www.youtube.com/watch?v=bazFR9T9NBA")</f>
        <v>https://www.youtube.com/watch?v=bazFR9T9NBA</v>
      </c>
      <c r="AO236" s="88" t="str">
        <f>REPLACE(INDEX(GroupVertices[Group],MATCH(Vertices[[#This Row],[Vertex]],GroupVertices[Vertex],0)),1,1,"")</f>
        <v>8</v>
      </c>
      <c r="AP236" s="48">
        <v>0</v>
      </c>
      <c r="AQ236" s="49">
        <v>0</v>
      </c>
      <c r="AR236" s="48">
        <v>3</v>
      </c>
      <c r="AS236" s="49">
        <v>4.761904761904762</v>
      </c>
      <c r="AT236" s="48">
        <v>0</v>
      </c>
      <c r="AU236" s="49">
        <v>0</v>
      </c>
      <c r="AV236" s="48">
        <v>60</v>
      </c>
      <c r="AW236" s="49">
        <v>95.23809523809524</v>
      </c>
      <c r="AX236" s="48">
        <v>63</v>
      </c>
      <c r="AY236" s="48"/>
      <c r="AZ236" s="48"/>
      <c r="BA236" s="48"/>
      <c r="BB236" s="48"/>
      <c r="BC236" s="2"/>
      <c r="BD236" s="3"/>
      <c r="BE236" s="3"/>
      <c r="BF236" s="3"/>
      <c r="BG236" s="3"/>
    </row>
    <row r="237" spans="1:59" ht="15">
      <c r="A237" s="65" t="s">
        <v>449</v>
      </c>
      <c r="B237" s="66"/>
      <c r="C237" s="66"/>
      <c r="D237" s="67">
        <v>82.45507590866079</v>
      </c>
      <c r="E237" s="69"/>
      <c r="F237" s="98" t="str">
        <f>HYPERLINK("https://i.ytimg.com/vi/CZErcUpgPkM/default.jpg")</f>
        <v>https://i.ytimg.com/vi/CZErcUpgPkM/default.jpg</v>
      </c>
      <c r="G237" s="66"/>
      <c r="H237" s="70" t="s">
        <v>739</v>
      </c>
      <c r="I237" s="71"/>
      <c r="J237" s="71" t="s">
        <v>159</v>
      </c>
      <c r="K237" s="70" t="s">
        <v>739</v>
      </c>
      <c r="L237" s="74">
        <v>909.9090909090909</v>
      </c>
      <c r="M237" s="75">
        <v>5185.3974609375</v>
      </c>
      <c r="N237" s="75">
        <v>396.1235046386719</v>
      </c>
      <c r="O237" s="76"/>
      <c r="P237" s="77"/>
      <c r="Q237" s="77"/>
      <c r="R237" s="91"/>
      <c r="S237" s="48">
        <v>1</v>
      </c>
      <c r="T237" s="48">
        <v>0</v>
      </c>
      <c r="U237" s="49">
        <v>0</v>
      </c>
      <c r="V237" s="49">
        <v>0.000598</v>
      </c>
      <c r="W237" s="49">
        <v>3.9E-05</v>
      </c>
      <c r="X237" s="49">
        <v>0.541618</v>
      </c>
      <c r="Y237" s="49">
        <v>0</v>
      </c>
      <c r="Z237" s="49">
        <v>0</v>
      </c>
      <c r="AA237" s="72">
        <v>237</v>
      </c>
      <c r="AB237" s="72"/>
      <c r="AC237" s="73"/>
      <c r="AD237" s="88" t="s">
        <v>739</v>
      </c>
      <c r="AE237" s="88" t="s">
        <v>1015</v>
      </c>
      <c r="AF237" s="88"/>
      <c r="AG237" s="88" t="s">
        <v>1403</v>
      </c>
      <c r="AH237" s="88" t="s">
        <v>1658</v>
      </c>
      <c r="AI237" s="88">
        <v>22735</v>
      </c>
      <c r="AJ237" s="88">
        <v>394</v>
      </c>
      <c r="AK237" s="88">
        <v>255</v>
      </c>
      <c r="AL237" s="88">
        <v>26</v>
      </c>
      <c r="AM237" s="88" t="s">
        <v>1705</v>
      </c>
      <c r="AN237" s="100" t="str">
        <f>HYPERLINK("https://www.youtube.com/watch?v=CZErcUpgPkM")</f>
        <v>https://www.youtube.com/watch?v=CZErcUpgPkM</v>
      </c>
      <c r="AO237" s="88" t="str">
        <f>REPLACE(INDEX(GroupVertices[Group],MATCH(Vertices[[#This Row],[Vertex]],GroupVertices[Vertex],0)),1,1,"")</f>
        <v>8</v>
      </c>
      <c r="AP237" s="48"/>
      <c r="AQ237" s="49"/>
      <c r="AR237" s="48"/>
      <c r="AS237" s="49"/>
      <c r="AT237" s="48"/>
      <c r="AU237" s="49"/>
      <c r="AV237" s="48"/>
      <c r="AW237" s="49"/>
      <c r="AX237" s="48"/>
      <c r="AY237" s="48"/>
      <c r="AZ237" s="48"/>
      <c r="BA237" s="48"/>
      <c r="BB237" s="48"/>
      <c r="BC237" s="2"/>
      <c r="BD237" s="3"/>
      <c r="BE237" s="3"/>
      <c r="BF237" s="3"/>
      <c r="BG237" s="3"/>
    </row>
    <row r="238" spans="1:59" ht="15">
      <c r="A238" s="65" t="s">
        <v>450</v>
      </c>
      <c r="B238" s="66"/>
      <c r="C238" s="66"/>
      <c r="D238" s="67">
        <v>95.62118053330217</v>
      </c>
      <c r="E238" s="69"/>
      <c r="F238" s="98" t="str">
        <f>HYPERLINK("https://i.ytimg.com/vi/7ViZRj4V1VM/default.jpg")</f>
        <v>https://i.ytimg.com/vi/7ViZRj4V1VM/default.jpg</v>
      </c>
      <c r="G238" s="66"/>
      <c r="H238" s="70" t="s">
        <v>740</v>
      </c>
      <c r="I238" s="71"/>
      <c r="J238" s="71" t="s">
        <v>159</v>
      </c>
      <c r="K238" s="70" t="s">
        <v>740</v>
      </c>
      <c r="L238" s="74">
        <v>909.9090909090909</v>
      </c>
      <c r="M238" s="75">
        <v>5000.30078125</v>
      </c>
      <c r="N238" s="75">
        <v>2115.058837890625</v>
      </c>
      <c r="O238" s="76"/>
      <c r="P238" s="77"/>
      <c r="Q238" s="77"/>
      <c r="R238" s="91"/>
      <c r="S238" s="48">
        <v>1</v>
      </c>
      <c r="T238" s="48">
        <v>0</v>
      </c>
      <c r="U238" s="49">
        <v>0</v>
      </c>
      <c r="V238" s="49">
        <v>0.000598</v>
      </c>
      <c r="W238" s="49">
        <v>3.9E-05</v>
      </c>
      <c r="X238" s="49">
        <v>0.541618</v>
      </c>
      <c r="Y238" s="49">
        <v>0</v>
      </c>
      <c r="Z238" s="49">
        <v>0</v>
      </c>
      <c r="AA238" s="72">
        <v>238</v>
      </c>
      <c r="AB238" s="72"/>
      <c r="AC238" s="73"/>
      <c r="AD238" s="88" t="s">
        <v>740</v>
      </c>
      <c r="AE238" s="88" t="s">
        <v>1016</v>
      </c>
      <c r="AF238" s="88" t="s">
        <v>1270</v>
      </c>
      <c r="AG238" s="88" t="s">
        <v>1385</v>
      </c>
      <c r="AH238" s="88" t="s">
        <v>1659</v>
      </c>
      <c r="AI238" s="88">
        <v>144208</v>
      </c>
      <c r="AJ238" s="88">
        <v>818</v>
      </c>
      <c r="AK238" s="88">
        <v>2033</v>
      </c>
      <c r="AL238" s="88">
        <v>344</v>
      </c>
      <c r="AM238" s="88" t="s">
        <v>1705</v>
      </c>
      <c r="AN238" s="100" t="str">
        <f>HYPERLINK("https://www.youtube.com/watch?v=7ViZRj4V1VM")</f>
        <v>https://www.youtube.com/watch?v=7ViZRj4V1VM</v>
      </c>
      <c r="AO238" s="88" t="str">
        <f>REPLACE(INDEX(GroupVertices[Group],MATCH(Vertices[[#This Row],[Vertex]],GroupVertices[Vertex],0)),1,1,"")</f>
        <v>8</v>
      </c>
      <c r="AP238" s="48">
        <v>0</v>
      </c>
      <c r="AQ238" s="49">
        <v>0</v>
      </c>
      <c r="AR238" s="48">
        <v>0</v>
      </c>
      <c r="AS238" s="49">
        <v>0</v>
      </c>
      <c r="AT238" s="48">
        <v>0</v>
      </c>
      <c r="AU238" s="49">
        <v>0</v>
      </c>
      <c r="AV238" s="48">
        <v>18</v>
      </c>
      <c r="AW238" s="49">
        <v>100</v>
      </c>
      <c r="AX238" s="48">
        <v>18</v>
      </c>
      <c r="AY238" s="48"/>
      <c r="AZ238" s="48"/>
      <c r="BA238" s="48"/>
      <c r="BB238" s="48"/>
      <c r="BC238" s="2"/>
      <c r="BD238" s="3"/>
      <c r="BE238" s="3"/>
      <c r="BF238" s="3"/>
      <c r="BG238" s="3"/>
    </row>
    <row r="239" spans="1:59" ht="15">
      <c r="A239" s="65" t="s">
        <v>451</v>
      </c>
      <c r="B239" s="66"/>
      <c r="C239" s="66"/>
      <c r="D239" s="67">
        <v>86.84572841777472</v>
      </c>
      <c r="E239" s="69"/>
      <c r="F239" s="98" t="str">
        <f>HYPERLINK("https://i.ytimg.com/vi/MlnssseIo1k/default.jpg")</f>
        <v>https://i.ytimg.com/vi/MlnssseIo1k/default.jpg</v>
      </c>
      <c r="G239" s="66"/>
      <c r="H239" s="70" t="s">
        <v>741</v>
      </c>
      <c r="I239" s="71"/>
      <c r="J239" s="71" t="s">
        <v>159</v>
      </c>
      <c r="K239" s="70" t="s">
        <v>741</v>
      </c>
      <c r="L239" s="74">
        <v>909.9090909090909</v>
      </c>
      <c r="M239" s="75">
        <v>4605.47802734375</v>
      </c>
      <c r="N239" s="75">
        <v>3005.479736328125</v>
      </c>
      <c r="O239" s="76"/>
      <c r="P239" s="77"/>
      <c r="Q239" s="77"/>
      <c r="R239" s="91"/>
      <c r="S239" s="48">
        <v>1</v>
      </c>
      <c r="T239" s="48">
        <v>0</v>
      </c>
      <c r="U239" s="49">
        <v>0</v>
      </c>
      <c r="V239" s="49">
        <v>0.000598</v>
      </c>
      <c r="W239" s="49">
        <v>3.9E-05</v>
      </c>
      <c r="X239" s="49">
        <v>0.541618</v>
      </c>
      <c r="Y239" s="49">
        <v>0</v>
      </c>
      <c r="Z239" s="49">
        <v>0</v>
      </c>
      <c r="AA239" s="72">
        <v>239</v>
      </c>
      <c r="AB239" s="72"/>
      <c r="AC239" s="73"/>
      <c r="AD239" s="88" t="s">
        <v>741</v>
      </c>
      <c r="AE239" s="88" t="s">
        <v>1017</v>
      </c>
      <c r="AF239" s="88" t="s">
        <v>1271</v>
      </c>
      <c r="AG239" s="88" t="s">
        <v>1404</v>
      </c>
      <c r="AH239" s="88" t="s">
        <v>1660</v>
      </c>
      <c r="AI239" s="88">
        <v>63244</v>
      </c>
      <c r="AJ239" s="88">
        <v>742</v>
      </c>
      <c r="AK239" s="88">
        <v>2849</v>
      </c>
      <c r="AL239" s="88">
        <v>136</v>
      </c>
      <c r="AM239" s="88" t="s">
        <v>1705</v>
      </c>
      <c r="AN239" s="100" t="str">
        <f>HYPERLINK("https://www.youtube.com/watch?v=MlnssseIo1k")</f>
        <v>https://www.youtube.com/watch?v=MlnssseIo1k</v>
      </c>
      <c r="AO239" s="88" t="str">
        <f>REPLACE(INDEX(GroupVertices[Group],MATCH(Vertices[[#This Row],[Vertex]],GroupVertices[Vertex],0)),1,1,"")</f>
        <v>8</v>
      </c>
      <c r="AP239" s="48">
        <v>0</v>
      </c>
      <c r="AQ239" s="49">
        <v>0</v>
      </c>
      <c r="AR239" s="48">
        <v>0</v>
      </c>
      <c r="AS239" s="49">
        <v>0</v>
      </c>
      <c r="AT239" s="48">
        <v>0</v>
      </c>
      <c r="AU239" s="49">
        <v>0</v>
      </c>
      <c r="AV239" s="48">
        <v>35</v>
      </c>
      <c r="AW239" s="49">
        <v>100</v>
      </c>
      <c r="AX239" s="48">
        <v>35</v>
      </c>
      <c r="AY239" s="48"/>
      <c r="AZ239" s="48"/>
      <c r="BA239" s="48"/>
      <c r="BB239" s="48"/>
      <c r="BC239" s="2"/>
      <c r="BD239" s="3"/>
      <c r="BE239" s="3"/>
      <c r="BF239" s="3"/>
      <c r="BG239" s="3"/>
    </row>
    <row r="240" spans="1:59" ht="15">
      <c r="A240" s="65" t="s">
        <v>452</v>
      </c>
      <c r="B240" s="66"/>
      <c r="C240" s="66"/>
      <c r="D240" s="67">
        <v>80.16008772756575</v>
      </c>
      <c r="E240" s="69"/>
      <c r="F240" s="98" t="str">
        <f>HYPERLINK("https://i.ytimg.com/vi/UARwC1ypSNo/default.jpg")</f>
        <v>https://i.ytimg.com/vi/UARwC1ypSNo/default.jpg</v>
      </c>
      <c r="G240" s="66"/>
      <c r="H240" s="70" t="s">
        <v>742</v>
      </c>
      <c r="I240" s="71"/>
      <c r="J240" s="71" t="s">
        <v>159</v>
      </c>
      <c r="K240" s="70" t="s">
        <v>742</v>
      </c>
      <c r="L240" s="74">
        <v>909.9090909090909</v>
      </c>
      <c r="M240" s="75">
        <v>3497.51416015625</v>
      </c>
      <c r="N240" s="75">
        <v>889.4736938476562</v>
      </c>
      <c r="O240" s="76"/>
      <c r="P240" s="77"/>
      <c r="Q240" s="77"/>
      <c r="R240" s="91"/>
      <c r="S240" s="48">
        <v>1</v>
      </c>
      <c r="T240" s="48">
        <v>0</v>
      </c>
      <c r="U240" s="49">
        <v>0</v>
      </c>
      <c r="V240" s="49">
        <v>0.000598</v>
      </c>
      <c r="W240" s="49">
        <v>3.9E-05</v>
      </c>
      <c r="X240" s="49">
        <v>0.541618</v>
      </c>
      <c r="Y240" s="49">
        <v>0</v>
      </c>
      <c r="Z240" s="49">
        <v>0</v>
      </c>
      <c r="AA240" s="72">
        <v>240</v>
      </c>
      <c r="AB240" s="72"/>
      <c r="AC240" s="73"/>
      <c r="AD240" s="88" t="s">
        <v>742</v>
      </c>
      <c r="AE240" s="88" t="s">
        <v>1018</v>
      </c>
      <c r="AF240" s="88" t="s">
        <v>1272</v>
      </c>
      <c r="AG240" s="88" t="s">
        <v>1405</v>
      </c>
      <c r="AH240" s="88" t="s">
        <v>1661</v>
      </c>
      <c r="AI240" s="88">
        <v>1561</v>
      </c>
      <c r="AJ240" s="88">
        <v>13</v>
      </c>
      <c r="AK240" s="88">
        <v>76</v>
      </c>
      <c r="AL240" s="88">
        <v>2</v>
      </c>
      <c r="AM240" s="88" t="s">
        <v>1705</v>
      </c>
      <c r="AN240" s="100" t="str">
        <f>HYPERLINK("https://www.youtube.com/watch?v=UARwC1ypSNo")</f>
        <v>https://www.youtube.com/watch?v=UARwC1ypSNo</v>
      </c>
      <c r="AO240" s="88" t="str">
        <f>REPLACE(INDEX(GroupVertices[Group],MATCH(Vertices[[#This Row],[Vertex]],GroupVertices[Vertex],0)),1,1,"")</f>
        <v>8</v>
      </c>
      <c r="AP240" s="48">
        <v>0</v>
      </c>
      <c r="AQ240" s="49">
        <v>0</v>
      </c>
      <c r="AR240" s="48">
        <v>0</v>
      </c>
      <c r="AS240" s="49">
        <v>0</v>
      </c>
      <c r="AT240" s="48">
        <v>0</v>
      </c>
      <c r="AU240" s="49">
        <v>0</v>
      </c>
      <c r="AV240" s="48">
        <v>11</v>
      </c>
      <c r="AW240" s="49">
        <v>100</v>
      </c>
      <c r="AX240" s="48">
        <v>11</v>
      </c>
      <c r="AY240" s="48"/>
      <c r="AZ240" s="48"/>
      <c r="BA240" s="48"/>
      <c r="BB240" s="48"/>
      <c r="BC240" s="2"/>
      <c r="BD240" s="3"/>
      <c r="BE240" s="3"/>
      <c r="BF240" s="3"/>
      <c r="BG240" s="3"/>
    </row>
    <row r="241" spans="1:59" ht="15">
      <c r="A241" s="65" t="s">
        <v>453</v>
      </c>
      <c r="B241" s="66"/>
      <c r="C241" s="66"/>
      <c r="D241" s="67">
        <v>82.21131334989613</v>
      </c>
      <c r="E241" s="69"/>
      <c r="F241" s="98" t="str">
        <f>HYPERLINK("https://i.ytimg.com/vi/xXI0UEmCsEw/default.jpg")</f>
        <v>https://i.ytimg.com/vi/xXI0UEmCsEw/default.jpg</v>
      </c>
      <c r="G241" s="66"/>
      <c r="H241" s="70" t="s">
        <v>743</v>
      </c>
      <c r="I241" s="71"/>
      <c r="J241" s="71" t="s">
        <v>159</v>
      </c>
      <c r="K241" s="70" t="s">
        <v>743</v>
      </c>
      <c r="L241" s="74">
        <v>909.9090909090909</v>
      </c>
      <c r="M241" s="75">
        <v>3685.51171875</v>
      </c>
      <c r="N241" s="75">
        <v>2605.275634765625</v>
      </c>
      <c r="O241" s="76"/>
      <c r="P241" s="77"/>
      <c r="Q241" s="77"/>
      <c r="R241" s="91"/>
      <c r="S241" s="48">
        <v>1</v>
      </c>
      <c r="T241" s="48">
        <v>0</v>
      </c>
      <c r="U241" s="49">
        <v>0</v>
      </c>
      <c r="V241" s="49">
        <v>0.000598</v>
      </c>
      <c r="W241" s="49">
        <v>3.9E-05</v>
      </c>
      <c r="X241" s="49">
        <v>0.541618</v>
      </c>
      <c r="Y241" s="49">
        <v>0</v>
      </c>
      <c r="Z241" s="49">
        <v>0</v>
      </c>
      <c r="AA241" s="72">
        <v>241</v>
      </c>
      <c r="AB241" s="72"/>
      <c r="AC241" s="73"/>
      <c r="AD241" s="88" t="s">
        <v>743</v>
      </c>
      <c r="AE241" s="88" t="s">
        <v>1019</v>
      </c>
      <c r="AF241" s="88"/>
      <c r="AG241" s="88" t="s">
        <v>1406</v>
      </c>
      <c r="AH241" s="88" t="s">
        <v>1662</v>
      </c>
      <c r="AI241" s="88">
        <v>20486</v>
      </c>
      <c r="AJ241" s="88">
        <v>96</v>
      </c>
      <c r="AK241" s="88">
        <v>559</v>
      </c>
      <c r="AL241" s="88">
        <v>18</v>
      </c>
      <c r="AM241" s="88" t="s">
        <v>1705</v>
      </c>
      <c r="AN241" s="100" t="str">
        <f>HYPERLINK("https://www.youtube.com/watch?v=xXI0UEmCsEw")</f>
        <v>https://www.youtube.com/watch?v=xXI0UEmCsEw</v>
      </c>
      <c r="AO241" s="88" t="str">
        <f>REPLACE(INDEX(GroupVertices[Group],MATCH(Vertices[[#This Row],[Vertex]],GroupVertices[Vertex],0)),1,1,"")</f>
        <v>8</v>
      </c>
      <c r="AP241" s="48"/>
      <c r="AQ241" s="49"/>
      <c r="AR241" s="48"/>
      <c r="AS241" s="49"/>
      <c r="AT241" s="48"/>
      <c r="AU241" s="49"/>
      <c r="AV241" s="48"/>
      <c r="AW241" s="49"/>
      <c r="AX241" s="48"/>
      <c r="AY241" s="48"/>
      <c r="AZ241" s="48"/>
      <c r="BA241" s="48"/>
      <c r="BB241" s="48"/>
      <c r="BC241" s="2"/>
      <c r="BD241" s="3"/>
      <c r="BE241" s="3"/>
      <c r="BF241" s="3"/>
      <c r="BG241" s="3"/>
    </row>
    <row r="242" spans="1:59" ht="15">
      <c r="A242" s="65" t="s">
        <v>454</v>
      </c>
      <c r="B242" s="66"/>
      <c r="C242" s="66"/>
      <c r="D242" s="67">
        <v>101.95640577109401</v>
      </c>
      <c r="E242" s="69"/>
      <c r="F242" s="98" t="str">
        <f>HYPERLINK("https://i.ytimg.com/vi/qyMFsLFAE5o/default.jpg")</f>
        <v>https://i.ytimg.com/vi/qyMFsLFAE5o/default.jpg</v>
      </c>
      <c r="G242" s="66"/>
      <c r="H242" s="70" t="s">
        <v>744</v>
      </c>
      <c r="I242" s="71"/>
      <c r="J242" s="71" t="s">
        <v>159</v>
      </c>
      <c r="K242" s="70" t="s">
        <v>744</v>
      </c>
      <c r="L242" s="74">
        <v>909.9090909090909</v>
      </c>
      <c r="M242" s="75">
        <v>5027.49169921875</v>
      </c>
      <c r="N242" s="75">
        <v>1105.382568359375</v>
      </c>
      <c r="O242" s="76"/>
      <c r="P242" s="77"/>
      <c r="Q242" s="77"/>
      <c r="R242" s="91"/>
      <c r="S242" s="48">
        <v>1</v>
      </c>
      <c r="T242" s="48">
        <v>0</v>
      </c>
      <c r="U242" s="49">
        <v>0</v>
      </c>
      <c r="V242" s="49">
        <v>0.000598</v>
      </c>
      <c r="W242" s="49">
        <v>3.9E-05</v>
      </c>
      <c r="X242" s="49">
        <v>0.541618</v>
      </c>
      <c r="Y242" s="49">
        <v>0</v>
      </c>
      <c r="Z242" s="49">
        <v>0</v>
      </c>
      <c r="AA242" s="72">
        <v>242</v>
      </c>
      <c r="AB242" s="72"/>
      <c r="AC242" s="73"/>
      <c r="AD242" s="88" t="s">
        <v>744</v>
      </c>
      <c r="AE242" s="88" t="s">
        <v>1020</v>
      </c>
      <c r="AF242" s="88" t="s">
        <v>1136</v>
      </c>
      <c r="AG242" s="88" t="s">
        <v>1351</v>
      </c>
      <c r="AH242" s="88" t="s">
        <v>1663</v>
      </c>
      <c r="AI242" s="88">
        <v>202658</v>
      </c>
      <c r="AJ242" s="88">
        <v>2825</v>
      </c>
      <c r="AK242" s="88">
        <v>6706</v>
      </c>
      <c r="AL242" s="88">
        <v>161</v>
      </c>
      <c r="AM242" s="88" t="s">
        <v>1705</v>
      </c>
      <c r="AN242" s="100" t="str">
        <f>HYPERLINK("https://www.youtube.com/watch?v=qyMFsLFAE5o")</f>
        <v>https://www.youtube.com/watch?v=qyMFsLFAE5o</v>
      </c>
      <c r="AO242" s="88" t="str">
        <f>REPLACE(INDEX(GroupVertices[Group],MATCH(Vertices[[#This Row],[Vertex]],GroupVertices[Vertex],0)),1,1,"")</f>
        <v>8</v>
      </c>
      <c r="AP242" s="48">
        <v>0</v>
      </c>
      <c r="AQ242" s="49">
        <v>0</v>
      </c>
      <c r="AR242" s="48">
        <v>0</v>
      </c>
      <c r="AS242" s="49">
        <v>0</v>
      </c>
      <c r="AT242" s="48">
        <v>0</v>
      </c>
      <c r="AU242" s="49">
        <v>0</v>
      </c>
      <c r="AV242" s="48">
        <v>17</v>
      </c>
      <c r="AW242" s="49">
        <v>100</v>
      </c>
      <c r="AX242" s="48">
        <v>17</v>
      </c>
      <c r="AY242" s="48"/>
      <c r="AZ242" s="48"/>
      <c r="BA242" s="48"/>
      <c r="BB242" s="48"/>
      <c r="BC242" s="2"/>
      <c r="BD242" s="3"/>
      <c r="BE242" s="3"/>
      <c r="BF242" s="3"/>
      <c r="BG242" s="3"/>
    </row>
    <row r="243" spans="1:59" ht="15">
      <c r="A243" s="65" t="s">
        <v>232</v>
      </c>
      <c r="B243" s="66"/>
      <c r="C243" s="66"/>
      <c r="D243" s="67">
        <v>106.75275114701813</v>
      </c>
      <c r="E243" s="69"/>
      <c r="F243" s="98" t="str">
        <f>HYPERLINK("https://i.ytimg.com/vi/rD-ywwSYqrU/default.jpg")</f>
        <v>https://i.ytimg.com/vi/rD-ywwSYqrU/default.jpg</v>
      </c>
      <c r="G243" s="66"/>
      <c r="H243" s="70" t="s">
        <v>745</v>
      </c>
      <c r="I243" s="71"/>
      <c r="J243" s="71" t="s">
        <v>159</v>
      </c>
      <c r="K243" s="70" t="s">
        <v>745</v>
      </c>
      <c r="L243" s="74">
        <v>1</v>
      </c>
      <c r="M243" s="75">
        <v>6882.76806640625</v>
      </c>
      <c r="N243" s="75">
        <v>1645.8768310546875</v>
      </c>
      <c r="O243" s="76"/>
      <c r="P243" s="77"/>
      <c r="Q243" s="77"/>
      <c r="R243" s="91"/>
      <c r="S243" s="48">
        <v>0</v>
      </c>
      <c r="T243" s="48">
        <v>20</v>
      </c>
      <c r="U243" s="49">
        <v>10222</v>
      </c>
      <c r="V243" s="49">
        <v>0.000702</v>
      </c>
      <c r="W243" s="49">
        <v>0.00011</v>
      </c>
      <c r="X243" s="49">
        <v>9.358254</v>
      </c>
      <c r="Y243" s="49">
        <v>0</v>
      </c>
      <c r="Z243" s="49">
        <v>0</v>
      </c>
      <c r="AA243" s="72">
        <v>243</v>
      </c>
      <c r="AB243" s="72"/>
      <c r="AC243" s="73"/>
      <c r="AD243" s="88" t="s">
        <v>745</v>
      </c>
      <c r="AE243" s="88" t="s">
        <v>1021</v>
      </c>
      <c r="AF243" s="88" t="s">
        <v>1273</v>
      </c>
      <c r="AG243" s="88" t="s">
        <v>1314</v>
      </c>
      <c r="AH243" s="88" t="s">
        <v>1664</v>
      </c>
      <c r="AI243" s="88">
        <v>246910</v>
      </c>
      <c r="AJ243" s="88">
        <v>3829</v>
      </c>
      <c r="AK243" s="88">
        <v>0</v>
      </c>
      <c r="AL243" s="88">
        <v>0</v>
      </c>
      <c r="AM243" s="88" t="s">
        <v>1705</v>
      </c>
      <c r="AN243" s="100" t="str">
        <f>HYPERLINK("https://www.youtube.com/watch?v=rD-ywwSYqrU")</f>
        <v>https://www.youtube.com/watch?v=rD-ywwSYqrU</v>
      </c>
      <c r="AO243" s="88" t="str">
        <f>REPLACE(INDEX(GroupVertices[Group],MATCH(Vertices[[#This Row],[Vertex]],GroupVertices[Vertex],0)),1,1,"")</f>
        <v>7</v>
      </c>
      <c r="AP243" s="48">
        <v>0</v>
      </c>
      <c r="AQ243" s="49">
        <v>0</v>
      </c>
      <c r="AR243" s="48">
        <v>0</v>
      </c>
      <c r="AS243" s="49">
        <v>0</v>
      </c>
      <c r="AT243" s="48">
        <v>0</v>
      </c>
      <c r="AU243" s="49">
        <v>0</v>
      </c>
      <c r="AV243" s="48">
        <v>26</v>
      </c>
      <c r="AW243" s="49">
        <v>100</v>
      </c>
      <c r="AX243" s="48">
        <v>26</v>
      </c>
      <c r="AY243" s="121" t="s">
        <v>2747</v>
      </c>
      <c r="AZ243" s="121" t="s">
        <v>2747</v>
      </c>
      <c r="BA243" s="121" t="s">
        <v>2747</v>
      </c>
      <c r="BB243" s="121" t="s">
        <v>2747</v>
      </c>
      <c r="BC243" s="2"/>
      <c r="BD243" s="3"/>
      <c r="BE243" s="3"/>
      <c r="BF243" s="3"/>
      <c r="BG243" s="3"/>
    </row>
    <row r="244" spans="1:59" ht="15">
      <c r="A244" s="65" t="s">
        <v>455</v>
      </c>
      <c r="B244" s="66"/>
      <c r="C244" s="66"/>
      <c r="D244" s="67">
        <v>88.60409213090898</v>
      </c>
      <c r="E244" s="69"/>
      <c r="F244" s="98" t="str">
        <f>HYPERLINK("https://i.ytimg.com/vi/XcMrHpLd9C4/default.jpg")</f>
        <v>https://i.ytimg.com/vi/XcMrHpLd9C4/default.jpg</v>
      </c>
      <c r="G244" s="66"/>
      <c r="H244" s="70" t="s">
        <v>746</v>
      </c>
      <c r="I244" s="71"/>
      <c r="J244" s="71" t="s">
        <v>159</v>
      </c>
      <c r="K244" s="70" t="s">
        <v>746</v>
      </c>
      <c r="L244" s="74">
        <v>909.9090909090909</v>
      </c>
      <c r="M244" s="75">
        <v>7934.92236328125</v>
      </c>
      <c r="N244" s="75">
        <v>2150.6142578125</v>
      </c>
      <c r="O244" s="76"/>
      <c r="P244" s="77"/>
      <c r="Q244" s="77"/>
      <c r="R244" s="91"/>
      <c r="S244" s="48">
        <v>1</v>
      </c>
      <c r="T244" s="48">
        <v>0</v>
      </c>
      <c r="U244" s="49">
        <v>0</v>
      </c>
      <c r="V244" s="49">
        <v>0.000588</v>
      </c>
      <c r="W244" s="49">
        <v>1.1E-05</v>
      </c>
      <c r="X244" s="49">
        <v>0.547726</v>
      </c>
      <c r="Y244" s="49">
        <v>0</v>
      </c>
      <c r="Z244" s="49">
        <v>0</v>
      </c>
      <c r="AA244" s="72">
        <v>244</v>
      </c>
      <c r="AB244" s="72"/>
      <c r="AC244" s="73"/>
      <c r="AD244" s="88" t="s">
        <v>746</v>
      </c>
      <c r="AE244" s="88" t="s">
        <v>1022</v>
      </c>
      <c r="AF244" s="88" t="s">
        <v>1274</v>
      </c>
      <c r="AG244" s="88" t="s">
        <v>1407</v>
      </c>
      <c r="AH244" s="88" t="s">
        <v>1665</v>
      </c>
      <c r="AI244" s="88">
        <v>79467</v>
      </c>
      <c r="AJ244" s="88">
        <v>583</v>
      </c>
      <c r="AK244" s="88">
        <v>1323</v>
      </c>
      <c r="AL244" s="88">
        <v>161</v>
      </c>
      <c r="AM244" s="88" t="s">
        <v>1705</v>
      </c>
      <c r="AN244" s="100" t="str">
        <f>HYPERLINK("https://www.youtube.com/watch?v=XcMrHpLd9C4")</f>
        <v>https://www.youtube.com/watch?v=XcMrHpLd9C4</v>
      </c>
      <c r="AO244" s="88" t="str">
        <f>REPLACE(INDEX(GroupVertices[Group],MATCH(Vertices[[#This Row],[Vertex]],GroupVertices[Vertex],0)),1,1,"")</f>
        <v>7</v>
      </c>
      <c r="AP244" s="48">
        <v>0</v>
      </c>
      <c r="AQ244" s="49">
        <v>0</v>
      </c>
      <c r="AR244" s="48">
        <v>0</v>
      </c>
      <c r="AS244" s="49">
        <v>0</v>
      </c>
      <c r="AT244" s="48">
        <v>0</v>
      </c>
      <c r="AU244" s="49">
        <v>0</v>
      </c>
      <c r="AV244" s="48">
        <v>19</v>
      </c>
      <c r="AW244" s="49">
        <v>100</v>
      </c>
      <c r="AX244" s="48">
        <v>19</v>
      </c>
      <c r="AY244" s="48"/>
      <c r="AZ244" s="48"/>
      <c r="BA244" s="48"/>
      <c r="BB244" s="48"/>
      <c r="BC244" s="2"/>
      <c r="BD244" s="3"/>
      <c r="BE244" s="3"/>
      <c r="BF244" s="3"/>
      <c r="BG244" s="3"/>
    </row>
    <row r="245" spans="1:59" ht="15">
      <c r="A245" s="65" t="s">
        <v>456</v>
      </c>
      <c r="B245" s="66"/>
      <c r="C245" s="66"/>
      <c r="D245" s="67">
        <v>211.27106950722518</v>
      </c>
      <c r="E245" s="69"/>
      <c r="F245" s="98" t="str">
        <f>HYPERLINK("https://i.ytimg.com/vi/mXQkDYpYxnY/default.jpg")</f>
        <v>https://i.ytimg.com/vi/mXQkDYpYxnY/default.jpg</v>
      </c>
      <c r="G245" s="66"/>
      <c r="H245" s="70" t="s">
        <v>747</v>
      </c>
      <c r="I245" s="71"/>
      <c r="J245" s="71" t="s">
        <v>159</v>
      </c>
      <c r="K245" s="70" t="s">
        <v>747</v>
      </c>
      <c r="L245" s="74">
        <v>909.9090909090909</v>
      </c>
      <c r="M245" s="75">
        <v>5763.7548828125</v>
      </c>
      <c r="N245" s="75">
        <v>1926.29296875</v>
      </c>
      <c r="O245" s="76"/>
      <c r="P245" s="77"/>
      <c r="Q245" s="77"/>
      <c r="R245" s="91"/>
      <c r="S245" s="48">
        <v>1</v>
      </c>
      <c r="T245" s="48">
        <v>0</v>
      </c>
      <c r="U245" s="49">
        <v>0</v>
      </c>
      <c r="V245" s="49">
        <v>0.000588</v>
      </c>
      <c r="W245" s="49">
        <v>1.1E-05</v>
      </c>
      <c r="X245" s="49">
        <v>0.547726</v>
      </c>
      <c r="Y245" s="49">
        <v>0</v>
      </c>
      <c r="Z245" s="49">
        <v>0</v>
      </c>
      <c r="AA245" s="72">
        <v>245</v>
      </c>
      <c r="AB245" s="72"/>
      <c r="AC245" s="73"/>
      <c r="AD245" s="88" t="s">
        <v>747</v>
      </c>
      <c r="AE245" s="88" t="s">
        <v>1023</v>
      </c>
      <c r="AF245" s="88" t="s">
        <v>1275</v>
      </c>
      <c r="AG245" s="88" t="s">
        <v>1408</v>
      </c>
      <c r="AH245" s="88" t="s">
        <v>1666</v>
      </c>
      <c r="AI245" s="88">
        <v>1211216</v>
      </c>
      <c r="AJ245" s="88">
        <v>13583</v>
      </c>
      <c r="AK245" s="88">
        <v>18227</v>
      </c>
      <c r="AL245" s="88">
        <v>3424</v>
      </c>
      <c r="AM245" s="88" t="s">
        <v>1705</v>
      </c>
      <c r="AN245" s="100" t="str">
        <f>HYPERLINK("https://www.youtube.com/watch?v=mXQkDYpYxnY")</f>
        <v>https://www.youtube.com/watch?v=mXQkDYpYxnY</v>
      </c>
      <c r="AO245" s="88" t="str">
        <f>REPLACE(INDEX(GroupVertices[Group],MATCH(Vertices[[#This Row],[Vertex]],GroupVertices[Vertex],0)),1,1,"")</f>
        <v>7</v>
      </c>
      <c r="AP245" s="48">
        <v>0</v>
      </c>
      <c r="AQ245" s="49">
        <v>0</v>
      </c>
      <c r="AR245" s="48">
        <v>0</v>
      </c>
      <c r="AS245" s="49">
        <v>0</v>
      </c>
      <c r="AT245" s="48">
        <v>0</v>
      </c>
      <c r="AU245" s="49">
        <v>0</v>
      </c>
      <c r="AV245" s="48">
        <v>10</v>
      </c>
      <c r="AW245" s="49">
        <v>100</v>
      </c>
      <c r="AX245" s="48">
        <v>10</v>
      </c>
      <c r="AY245" s="48"/>
      <c r="AZ245" s="48"/>
      <c r="BA245" s="48"/>
      <c r="BB245" s="48"/>
      <c r="BC245" s="2"/>
      <c r="BD245" s="3"/>
      <c r="BE245" s="3"/>
      <c r="BF245" s="3"/>
      <c r="BG245" s="3"/>
    </row>
    <row r="246" spans="1:59" ht="15">
      <c r="A246" s="65" t="s">
        <v>457</v>
      </c>
      <c r="B246" s="66"/>
      <c r="C246" s="66"/>
      <c r="D246" s="67">
        <v>123.0701019404116</v>
      </c>
      <c r="E246" s="69"/>
      <c r="F246" s="98" t="str">
        <f>HYPERLINK("https://i.ytimg.com/vi/jSdv-OJ790c/default.jpg")</f>
        <v>https://i.ytimg.com/vi/jSdv-OJ790c/default.jpg</v>
      </c>
      <c r="G246" s="66"/>
      <c r="H246" s="70" t="s">
        <v>748</v>
      </c>
      <c r="I246" s="71"/>
      <c r="J246" s="71" t="s">
        <v>159</v>
      </c>
      <c r="K246" s="70" t="s">
        <v>748</v>
      </c>
      <c r="L246" s="74">
        <v>909.9090909090909</v>
      </c>
      <c r="M246" s="75">
        <v>6226.82763671875</v>
      </c>
      <c r="N246" s="75">
        <v>1824.8841552734375</v>
      </c>
      <c r="O246" s="76"/>
      <c r="P246" s="77"/>
      <c r="Q246" s="77"/>
      <c r="R246" s="91"/>
      <c r="S246" s="48">
        <v>1</v>
      </c>
      <c r="T246" s="48">
        <v>0</v>
      </c>
      <c r="U246" s="49">
        <v>0</v>
      </c>
      <c r="V246" s="49">
        <v>0.000588</v>
      </c>
      <c r="W246" s="49">
        <v>1.1E-05</v>
      </c>
      <c r="X246" s="49">
        <v>0.547726</v>
      </c>
      <c r="Y246" s="49">
        <v>0</v>
      </c>
      <c r="Z246" s="49">
        <v>0</v>
      </c>
      <c r="AA246" s="72">
        <v>246</v>
      </c>
      <c r="AB246" s="72"/>
      <c r="AC246" s="73"/>
      <c r="AD246" s="88" t="s">
        <v>748</v>
      </c>
      <c r="AE246" s="88" t="s">
        <v>1024</v>
      </c>
      <c r="AF246" s="88" t="s">
        <v>1276</v>
      </c>
      <c r="AG246" s="88" t="s">
        <v>1409</v>
      </c>
      <c r="AH246" s="88" t="s">
        <v>1667</v>
      </c>
      <c r="AI246" s="88">
        <v>397457</v>
      </c>
      <c r="AJ246" s="88">
        <v>5210</v>
      </c>
      <c r="AK246" s="88">
        <v>23713</v>
      </c>
      <c r="AL246" s="88">
        <v>1099</v>
      </c>
      <c r="AM246" s="88" t="s">
        <v>1705</v>
      </c>
      <c r="AN246" s="100" t="str">
        <f>HYPERLINK("https://www.youtube.com/watch?v=jSdv-OJ790c")</f>
        <v>https://www.youtube.com/watch?v=jSdv-OJ790c</v>
      </c>
      <c r="AO246" s="88" t="str">
        <f>REPLACE(INDEX(GroupVertices[Group],MATCH(Vertices[[#This Row],[Vertex]],GroupVertices[Vertex],0)),1,1,"")</f>
        <v>7</v>
      </c>
      <c r="AP246" s="48">
        <v>0</v>
      </c>
      <c r="AQ246" s="49">
        <v>0</v>
      </c>
      <c r="AR246" s="48">
        <v>0</v>
      </c>
      <c r="AS246" s="49">
        <v>0</v>
      </c>
      <c r="AT246" s="48">
        <v>0</v>
      </c>
      <c r="AU246" s="49">
        <v>0</v>
      </c>
      <c r="AV246" s="48">
        <v>37</v>
      </c>
      <c r="AW246" s="49">
        <v>100</v>
      </c>
      <c r="AX246" s="48">
        <v>37</v>
      </c>
      <c r="AY246" s="48"/>
      <c r="AZ246" s="48"/>
      <c r="BA246" s="48"/>
      <c r="BB246" s="48"/>
      <c r="BC246" s="2"/>
      <c r="BD246" s="3"/>
      <c r="BE246" s="3"/>
      <c r="BF246" s="3"/>
      <c r="BG246" s="3"/>
    </row>
    <row r="247" spans="1:59" ht="15">
      <c r="A247" s="65" t="s">
        <v>458</v>
      </c>
      <c r="B247" s="66"/>
      <c r="C247" s="66"/>
      <c r="D247" s="67">
        <v>286.55782403969044</v>
      </c>
      <c r="E247" s="69"/>
      <c r="F247" s="98" t="str">
        <f>HYPERLINK("https://i.ytimg.com/vi/geCivuh_U2g/default.jpg")</f>
        <v>https://i.ytimg.com/vi/geCivuh_U2g/default.jpg</v>
      </c>
      <c r="G247" s="66"/>
      <c r="H247" s="70" t="s">
        <v>749</v>
      </c>
      <c r="I247" s="71"/>
      <c r="J247" s="71" t="s">
        <v>159</v>
      </c>
      <c r="K247" s="70" t="s">
        <v>749</v>
      </c>
      <c r="L247" s="74">
        <v>909.9090909090909</v>
      </c>
      <c r="M247" s="75">
        <v>7501.744140625</v>
      </c>
      <c r="N247" s="75">
        <v>393.2352294921875</v>
      </c>
      <c r="O247" s="76"/>
      <c r="P247" s="77"/>
      <c r="Q247" s="77"/>
      <c r="R247" s="91"/>
      <c r="S247" s="48">
        <v>1</v>
      </c>
      <c r="T247" s="48">
        <v>0</v>
      </c>
      <c r="U247" s="49">
        <v>0</v>
      </c>
      <c r="V247" s="49">
        <v>0.000588</v>
      </c>
      <c r="W247" s="49">
        <v>1.1E-05</v>
      </c>
      <c r="X247" s="49">
        <v>0.547726</v>
      </c>
      <c r="Y247" s="49">
        <v>0</v>
      </c>
      <c r="Z247" s="49">
        <v>0</v>
      </c>
      <c r="AA247" s="72">
        <v>247</v>
      </c>
      <c r="AB247" s="72"/>
      <c r="AC247" s="73"/>
      <c r="AD247" s="88" t="s">
        <v>749</v>
      </c>
      <c r="AE247" s="88" t="s">
        <v>1025</v>
      </c>
      <c r="AF247" s="88" t="s">
        <v>1277</v>
      </c>
      <c r="AG247" s="88" t="s">
        <v>1410</v>
      </c>
      <c r="AH247" s="88" t="s">
        <v>1668</v>
      </c>
      <c r="AI247" s="88">
        <v>1905826</v>
      </c>
      <c r="AJ247" s="88">
        <v>6175</v>
      </c>
      <c r="AK247" s="88">
        <v>25950</v>
      </c>
      <c r="AL247" s="88">
        <v>1084</v>
      </c>
      <c r="AM247" s="88" t="s">
        <v>1705</v>
      </c>
      <c r="AN247" s="100" t="str">
        <f>HYPERLINK("https://www.youtube.com/watch?v=geCivuh_U2g")</f>
        <v>https://www.youtube.com/watch?v=geCivuh_U2g</v>
      </c>
      <c r="AO247" s="88" t="str">
        <f>REPLACE(INDEX(GroupVertices[Group],MATCH(Vertices[[#This Row],[Vertex]],GroupVertices[Vertex],0)),1,1,"")</f>
        <v>7</v>
      </c>
      <c r="AP247" s="48">
        <v>0</v>
      </c>
      <c r="AQ247" s="49">
        <v>0</v>
      </c>
      <c r="AR247" s="48">
        <v>4</v>
      </c>
      <c r="AS247" s="49">
        <v>5.797101449275362</v>
      </c>
      <c r="AT247" s="48">
        <v>0</v>
      </c>
      <c r="AU247" s="49">
        <v>0</v>
      </c>
      <c r="AV247" s="48">
        <v>65</v>
      </c>
      <c r="AW247" s="49">
        <v>94.20289855072464</v>
      </c>
      <c r="AX247" s="48">
        <v>69</v>
      </c>
      <c r="AY247" s="48"/>
      <c r="AZ247" s="48"/>
      <c r="BA247" s="48"/>
      <c r="BB247" s="48"/>
      <c r="BC247" s="2"/>
      <c r="BD247" s="3"/>
      <c r="BE247" s="3"/>
      <c r="BF247" s="3"/>
      <c r="BG247" s="3"/>
    </row>
    <row r="248" spans="1:59" ht="15">
      <c r="A248" s="65" t="s">
        <v>459</v>
      </c>
      <c r="B248" s="66"/>
      <c r="C248" s="66"/>
      <c r="D248" s="67">
        <v>83.47759968784518</v>
      </c>
      <c r="E248" s="69"/>
      <c r="F248" s="98" t="str">
        <f>HYPERLINK("https://i.ytimg.com/vi/4lQ6_0kVRkc/default.jpg")</f>
        <v>https://i.ytimg.com/vi/4lQ6_0kVRkc/default.jpg</v>
      </c>
      <c r="G248" s="66"/>
      <c r="H248" s="70" t="s">
        <v>750</v>
      </c>
      <c r="I248" s="71"/>
      <c r="J248" s="71" t="s">
        <v>159</v>
      </c>
      <c r="K248" s="70" t="s">
        <v>750</v>
      </c>
      <c r="L248" s="74">
        <v>909.9090909090909</v>
      </c>
      <c r="M248" s="75">
        <v>7248.701171875</v>
      </c>
      <c r="N248" s="75">
        <v>2994.641357421875</v>
      </c>
      <c r="O248" s="76"/>
      <c r="P248" s="77"/>
      <c r="Q248" s="77"/>
      <c r="R248" s="91"/>
      <c r="S248" s="48">
        <v>1</v>
      </c>
      <c r="T248" s="48">
        <v>0</v>
      </c>
      <c r="U248" s="49">
        <v>0</v>
      </c>
      <c r="V248" s="49">
        <v>0.000588</v>
      </c>
      <c r="W248" s="49">
        <v>1.1E-05</v>
      </c>
      <c r="X248" s="49">
        <v>0.547726</v>
      </c>
      <c r="Y248" s="49">
        <v>0</v>
      </c>
      <c r="Z248" s="49">
        <v>0</v>
      </c>
      <c r="AA248" s="72">
        <v>248</v>
      </c>
      <c r="AB248" s="72"/>
      <c r="AC248" s="73"/>
      <c r="AD248" s="88" t="s">
        <v>750</v>
      </c>
      <c r="AE248" s="88" t="s">
        <v>1026</v>
      </c>
      <c r="AF248" s="88" t="s">
        <v>1278</v>
      </c>
      <c r="AG248" s="88" t="s">
        <v>1411</v>
      </c>
      <c r="AH248" s="88" t="s">
        <v>1669</v>
      </c>
      <c r="AI248" s="88">
        <v>32169</v>
      </c>
      <c r="AJ248" s="88">
        <v>280</v>
      </c>
      <c r="AK248" s="88">
        <v>0</v>
      </c>
      <c r="AL248" s="88">
        <v>0</v>
      </c>
      <c r="AM248" s="88" t="s">
        <v>1705</v>
      </c>
      <c r="AN248" s="100" t="str">
        <f>HYPERLINK("https://www.youtube.com/watch?v=4lQ6_0kVRkc")</f>
        <v>https://www.youtube.com/watch?v=4lQ6_0kVRkc</v>
      </c>
      <c r="AO248" s="88" t="str">
        <f>REPLACE(INDEX(GroupVertices[Group],MATCH(Vertices[[#This Row],[Vertex]],GroupVertices[Vertex],0)),1,1,"")</f>
        <v>7</v>
      </c>
      <c r="AP248" s="48">
        <v>2</v>
      </c>
      <c r="AQ248" s="49">
        <v>10</v>
      </c>
      <c r="AR248" s="48">
        <v>1</v>
      </c>
      <c r="AS248" s="49">
        <v>5</v>
      </c>
      <c r="AT248" s="48">
        <v>0</v>
      </c>
      <c r="AU248" s="49">
        <v>0</v>
      </c>
      <c r="AV248" s="48">
        <v>17</v>
      </c>
      <c r="AW248" s="49">
        <v>85</v>
      </c>
      <c r="AX248" s="48">
        <v>20</v>
      </c>
      <c r="AY248" s="48"/>
      <c r="AZ248" s="48"/>
      <c r="BA248" s="48"/>
      <c r="BB248" s="48"/>
      <c r="BC248" s="2"/>
      <c r="BD248" s="3"/>
      <c r="BE248" s="3"/>
      <c r="BF248" s="3"/>
      <c r="BG248" s="3"/>
    </row>
    <row r="249" spans="1:59" ht="15">
      <c r="A249" s="65" t="s">
        <v>460</v>
      </c>
      <c r="B249" s="66"/>
      <c r="C249" s="66"/>
      <c r="D249" s="67">
        <v>107.14077691863994</v>
      </c>
      <c r="E249" s="69"/>
      <c r="F249" s="98" t="str">
        <f>HYPERLINK("https://i.ytimg.com/vi/aIs1lkbEh_0/default.jpg")</f>
        <v>https://i.ytimg.com/vi/aIs1lkbEh_0/default.jpg</v>
      </c>
      <c r="G249" s="66"/>
      <c r="H249" s="70" t="s">
        <v>751</v>
      </c>
      <c r="I249" s="71"/>
      <c r="J249" s="71" t="s">
        <v>159</v>
      </c>
      <c r="K249" s="70" t="s">
        <v>751</v>
      </c>
      <c r="L249" s="74">
        <v>909.9090909090909</v>
      </c>
      <c r="M249" s="75">
        <v>6895.8154296875</v>
      </c>
      <c r="N249" s="75">
        <v>144.4942169189453</v>
      </c>
      <c r="O249" s="76"/>
      <c r="P249" s="77"/>
      <c r="Q249" s="77"/>
      <c r="R249" s="91"/>
      <c r="S249" s="48">
        <v>1</v>
      </c>
      <c r="T249" s="48">
        <v>0</v>
      </c>
      <c r="U249" s="49">
        <v>0</v>
      </c>
      <c r="V249" s="49">
        <v>0.000588</v>
      </c>
      <c r="W249" s="49">
        <v>1.1E-05</v>
      </c>
      <c r="X249" s="49">
        <v>0.547726</v>
      </c>
      <c r="Y249" s="49">
        <v>0</v>
      </c>
      <c r="Z249" s="49">
        <v>0</v>
      </c>
      <c r="AA249" s="72">
        <v>249</v>
      </c>
      <c r="AB249" s="72"/>
      <c r="AC249" s="73"/>
      <c r="AD249" s="88" t="s">
        <v>751</v>
      </c>
      <c r="AE249" s="88" t="s">
        <v>1024</v>
      </c>
      <c r="AF249" s="88" t="s">
        <v>1279</v>
      </c>
      <c r="AG249" s="88" t="s">
        <v>1409</v>
      </c>
      <c r="AH249" s="88" t="s">
        <v>1670</v>
      </c>
      <c r="AI249" s="88">
        <v>250490</v>
      </c>
      <c r="AJ249" s="88">
        <v>2441</v>
      </c>
      <c r="AK249" s="88">
        <v>9986</v>
      </c>
      <c r="AL249" s="88">
        <v>294</v>
      </c>
      <c r="AM249" s="88" t="s">
        <v>1705</v>
      </c>
      <c r="AN249" s="100" t="str">
        <f>HYPERLINK("https://www.youtube.com/watch?v=aIs1lkbEh_0")</f>
        <v>https://www.youtube.com/watch?v=aIs1lkbEh_0</v>
      </c>
      <c r="AO249" s="88" t="str">
        <f>REPLACE(INDEX(GroupVertices[Group],MATCH(Vertices[[#This Row],[Vertex]],GroupVertices[Vertex],0)),1,1,"")</f>
        <v>7</v>
      </c>
      <c r="AP249" s="48">
        <v>0</v>
      </c>
      <c r="AQ249" s="49">
        <v>0</v>
      </c>
      <c r="AR249" s="48">
        <v>0</v>
      </c>
      <c r="AS249" s="49">
        <v>0</v>
      </c>
      <c r="AT249" s="48">
        <v>0</v>
      </c>
      <c r="AU249" s="49">
        <v>0</v>
      </c>
      <c r="AV249" s="48">
        <v>41</v>
      </c>
      <c r="AW249" s="49">
        <v>100</v>
      </c>
      <c r="AX249" s="48">
        <v>41</v>
      </c>
      <c r="AY249" s="48"/>
      <c r="AZ249" s="48"/>
      <c r="BA249" s="48"/>
      <c r="BB249" s="48"/>
      <c r="BC249" s="2"/>
      <c r="BD249" s="3"/>
      <c r="BE249" s="3"/>
      <c r="BF249" s="3"/>
      <c r="BG249" s="3"/>
    </row>
    <row r="250" spans="1:59" ht="15">
      <c r="A250" s="65" t="s">
        <v>461</v>
      </c>
      <c r="B250" s="66"/>
      <c r="C250" s="66"/>
      <c r="D250" s="67">
        <v>118.28860559541269</v>
      </c>
      <c r="E250" s="69"/>
      <c r="F250" s="98" t="str">
        <f>HYPERLINK("https://i.ytimg.com/vi/x43rg_ozbCI/default.jpg")</f>
        <v>https://i.ytimg.com/vi/x43rg_ozbCI/default.jpg</v>
      </c>
      <c r="G250" s="66"/>
      <c r="H250" s="70" t="s">
        <v>752</v>
      </c>
      <c r="I250" s="71"/>
      <c r="J250" s="71" t="s">
        <v>159</v>
      </c>
      <c r="K250" s="70" t="s">
        <v>752</v>
      </c>
      <c r="L250" s="74">
        <v>909.9090909090909</v>
      </c>
      <c r="M250" s="75">
        <v>7088.1767578125</v>
      </c>
      <c r="N250" s="75">
        <v>654.7905883789062</v>
      </c>
      <c r="O250" s="76"/>
      <c r="P250" s="77"/>
      <c r="Q250" s="77"/>
      <c r="R250" s="91"/>
      <c r="S250" s="48">
        <v>1</v>
      </c>
      <c r="T250" s="48">
        <v>0</v>
      </c>
      <c r="U250" s="49">
        <v>0</v>
      </c>
      <c r="V250" s="49">
        <v>0.000588</v>
      </c>
      <c r="W250" s="49">
        <v>1.1E-05</v>
      </c>
      <c r="X250" s="49">
        <v>0.547726</v>
      </c>
      <c r="Y250" s="49">
        <v>0</v>
      </c>
      <c r="Z250" s="49">
        <v>0</v>
      </c>
      <c r="AA250" s="72">
        <v>250</v>
      </c>
      <c r="AB250" s="72"/>
      <c r="AC250" s="73"/>
      <c r="AD250" s="88" t="s">
        <v>752</v>
      </c>
      <c r="AE250" s="88" t="s">
        <v>1027</v>
      </c>
      <c r="AF250" s="88" t="s">
        <v>1280</v>
      </c>
      <c r="AG250" s="88" t="s">
        <v>1346</v>
      </c>
      <c r="AH250" s="88" t="s">
        <v>1671</v>
      </c>
      <c r="AI250" s="88">
        <v>353342</v>
      </c>
      <c r="AJ250" s="88">
        <v>0</v>
      </c>
      <c r="AK250" s="88">
        <v>6739</v>
      </c>
      <c r="AL250" s="88">
        <v>443</v>
      </c>
      <c r="AM250" s="88" t="s">
        <v>1705</v>
      </c>
      <c r="AN250" s="100" t="str">
        <f>HYPERLINK("https://www.youtube.com/watch?v=x43rg_ozbCI")</f>
        <v>https://www.youtube.com/watch?v=x43rg_ozbCI</v>
      </c>
      <c r="AO250" s="88" t="str">
        <f>REPLACE(INDEX(GroupVertices[Group],MATCH(Vertices[[#This Row],[Vertex]],GroupVertices[Vertex],0)),1,1,"")</f>
        <v>7</v>
      </c>
      <c r="AP250" s="48">
        <v>2</v>
      </c>
      <c r="AQ250" s="49">
        <v>3.1746031746031744</v>
      </c>
      <c r="AR250" s="48">
        <v>0</v>
      </c>
      <c r="AS250" s="49">
        <v>0</v>
      </c>
      <c r="AT250" s="48">
        <v>0</v>
      </c>
      <c r="AU250" s="49">
        <v>0</v>
      </c>
      <c r="AV250" s="48">
        <v>61</v>
      </c>
      <c r="AW250" s="49">
        <v>96.82539682539682</v>
      </c>
      <c r="AX250" s="48">
        <v>63</v>
      </c>
      <c r="AY250" s="48"/>
      <c r="AZ250" s="48"/>
      <c r="BA250" s="48"/>
      <c r="BB250" s="48"/>
      <c r="BC250" s="2"/>
      <c r="BD250" s="3"/>
      <c r="BE250" s="3"/>
      <c r="BF250" s="3"/>
      <c r="BG250" s="3"/>
    </row>
    <row r="251" spans="1:59" ht="15">
      <c r="A251" s="65" t="s">
        <v>462</v>
      </c>
      <c r="B251" s="66"/>
      <c r="C251" s="66"/>
      <c r="D251" s="67">
        <v>84.70605893241547</v>
      </c>
      <c r="E251" s="69"/>
      <c r="F251" s="98" t="str">
        <f>HYPERLINK("https://i.ytimg.com/vi/s9CRLFKelKE/default.jpg")</f>
        <v>https://i.ytimg.com/vi/s9CRLFKelKE/default.jpg</v>
      </c>
      <c r="G251" s="66"/>
      <c r="H251" s="70" t="s">
        <v>753</v>
      </c>
      <c r="I251" s="71"/>
      <c r="J251" s="71" t="s">
        <v>159</v>
      </c>
      <c r="K251" s="70" t="s">
        <v>753</v>
      </c>
      <c r="L251" s="74">
        <v>909.9090909090909</v>
      </c>
      <c r="M251" s="75">
        <v>5816.20068359375</v>
      </c>
      <c r="N251" s="75">
        <v>1269.93701171875</v>
      </c>
      <c r="O251" s="76"/>
      <c r="P251" s="77"/>
      <c r="Q251" s="77"/>
      <c r="R251" s="91"/>
      <c r="S251" s="48">
        <v>1</v>
      </c>
      <c r="T251" s="48">
        <v>0</v>
      </c>
      <c r="U251" s="49">
        <v>0</v>
      </c>
      <c r="V251" s="49">
        <v>0.000588</v>
      </c>
      <c r="W251" s="49">
        <v>1.1E-05</v>
      </c>
      <c r="X251" s="49">
        <v>0.547726</v>
      </c>
      <c r="Y251" s="49">
        <v>0</v>
      </c>
      <c r="Z251" s="49">
        <v>0</v>
      </c>
      <c r="AA251" s="72">
        <v>251</v>
      </c>
      <c r="AB251" s="72"/>
      <c r="AC251" s="73"/>
      <c r="AD251" s="88" t="s">
        <v>753</v>
      </c>
      <c r="AE251" s="88" t="s">
        <v>1028</v>
      </c>
      <c r="AF251" s="88" t="s">
        <v>1281</v>
      </c>
      <c r="AG251" s="88" t="s">
        <v>1314</v>
      </c>
      <c r="AH251" s="88" t="s">
        <v>1672</v>
      </c>
      <c r="AI251" s="88">
        <v>43503</v>
      </c>
      <c r="AJ251" s="88">
        <v>623</v>
      </c>
      <c r="AK251" s="88">
        <v>0</v>
      </c>
      <c r="AL251" s="88">
        <v>0</v>
      </c>
      <c r="AM251" s="88" t="s">
        <v>1705</v>
      </c>
      <c r="AN251" s="100" t="str">
        <f>HYPERLINK("https://www.youtube.com/watch?v=s9CRLFKelKE")</f>
        <v>https://www.youtube.com/watch?v=s9CRLFKelKE</v>
      </c>
      <c r="AO251" s="88" t="str">
        <f>REPLACE(INDEX(GroupVertices[Group],MATCH(Vertices[[#This Row],[Vertex]],GroupVertices[Vertex],0)),1,1,"")</f>
        <v>7</v>
      </c>
      <c r="AP251" s="48">
        <v>0</v>
      </c>
      <c r="AQ251" s="49">
        <v>0</v>
      </c>
      <c r="AR251" s="48">
        <v>0</v>
      </c>
      <c r="AS251" s="49">
        <v>0</v>
      </c>
      <c r="AT251" s="48">
        <v>0</v>
      </c>
      <c r="AU251" s="49">
        <v>0</v>
      </c>
      <c r="AV251" s="48">
        <v>43</v>
      </c>
      <c r="AW251" s="49">
        <v>100</v>
      </c>
      <c r="AX251" s="48">
        <v>43</v>
      </c>
      <c r="AY251" s="48"/>
      <c r="AZ251" s="48"/>
      <c r="BA251" s="48"/>
      <c r="BB251" s="48"/>
      <c r="BC251" s="2"/>
      <c r="BD251" s="3"/>
      <c r="BE251" s="3"/>
      <c r="BF251" s="3"/>
      <c r="BG251" s="3"/>
    </row>
    <row r="252" spans="1:59" ht="15">
      <c r="A252" s="65" t="s">
        <v>463</v>
      </c>
      <c r="B252" s="66"/>
      <c r="C252" s="66"/>
      <c r="D252" s="67">
        <v>289.7114547243575</v>
      </c>
      <c r="E252" s="69"/>
      <c r="F252" s="98" t="str">
        <f>HYPERLINK("https://i.ytimg.com/vi/_QJEZbQxCLw/default.jpg")</f>
        <v>https://i.ytimg.com/vi/_QJEZbQxCLw/default.jpg</v>
      </c>
      <c r="G252" s="66"/>
      <c r="H252" s="70" t="s">
        <v>754</v>
      </c>
      <c r="I252" s="71"/>
      <c r="J252" s="71" t="s">
        <v>159</v>
      </c>
      <c r="K252" s="70" t="s">
        <v>754</v>
      </c>
      <c r="L252" s="74">
        <v>909.9090909090909</v>
      </c>
      <c r="M252" s="75">
        <v>6326.93115234375</v>
      </c>
      <c r="N252" s="75">
        <v>2919.417236328125</v>
      </c>
      <c r="O252" s="76"/>
      <c r="P252" s="77"/>
      <c r="Q252" s="77"/>
      <c r="R252" s="91"/>
      <c r="S252" s="48">
        <v>1</v>
      </c>
      <c r="T252" s="48">
        <v>0</v>
      </c>
      <c r="U252" s="49">
        <v>0</v>
      </c>
      <c r="V252" s="49">
        <v>0.000588</v>
      </c>
      <c r="W252" s="49">
        <v>1.1E-05</v>
      </c>
      <c r="X252" s="49">
        <v>0.547726</v>
      </c>
      <c r="Y252" s="49">
        <v>0</v>
      </c>
      <c r="Z252" s="49">
        <v>0</v>
      </c>
      <c r="AA252" s="72">
        <v>252</v>
      </c>
      <c r="AB252" s="72"/>
      <c r="AC252" s="73"/>
      <c r="AD252" s="88" t="s">
        <v>754</v>
      </c>
      <c r="AE252" s="88" t="s">
        <v>1029</v>
      </c>
      <c r="AF252" s="88" t="s">
        <v>1282</v>
      </c>
      <c r="AG252" s="88" t="s">
        <v>1385</v>
      </c>
      <c r="AH252" s="88" t="s">
        <v>1673</v>
      </c>
      <c r="AI252" s="88">
        <v>1934922</v>
      </c>
      <c r="AJ252" s="88">
        <v>17956</v>
      </c>
      <c r="AK252" s="88">
        <v>52190</v>
      </c>
      <c r="AL252" s="88">
        <v>3050</v>
      </c>
      <c r="AM252" s="88" t="s">
        <v>1705</v>
      </c>
      <c r="AN252" s="100" t="str">
        <f>HYPERLINK("https://www.youtube.com/watch?v=_QJEZbQxCLw")</f>
        <v>https://www.youtube.com/watch?v=_QJEZbQxCLw</v>
      </c>
      <c r="AO252" s="88" t="str">
        <f>REPLACE(INDEX(GroupVertices[Group],MATCH(Vertices[[#This Row],[Vertex]],GroupVertices[Vertex],0)),1,1,"")</f>
        <v>7</v>
      </c>
      <c r="AP252" s="48">
        <v>3</v>
      </c>
      <c r="AQ252" s="49">
        <v>5.172413793103448</v>
      </c>
      <c r="AR252" s="48">
        <v>1</v>
      </c>
      <c r="AS252" s="49">
        <v>1.7241379310344827</v>
      </c>
      <c r="AT252" s="48">
        <v>0</v>
      </c>
      <c r="AU252" s="49">
        <v>0</v>
      </c>
      <c r="AV252" s="48">
        <v>54</v>
      </c>
      <c r="AW252" s="49">
        <v>93.10344827586206</v>
      </c>
      <c r="AX252" s="48">
        <v>58</v>
      </c>
      <c r="AY252" s="48"/>
      <c r="AZ252" s="48"/>
      <c r="BA252" s="48"/>
      <c r="BB252" s="48"/>
      <c r="BC252" s="2"/>
      <c r="BD252" s="3"/>
      <c r="BE252" s="3"/>
      <c r="BF252" s="3"/>
      <c r="BG252" s="3"/>
    </row>
    <row r="253" spans="1:59" ht="15">
      <c r="A253" s="65" t="s">
        <v>464</v>
      </c>
      <c r="B253" s="66"/>
      <c r="C253" s="66"/>
      <c r="D253" s="67">
        <v>509.8461704485906</v>
      </c>
      <c r="E253" s="69"/>
      <c r="F253" s="98" t="str">
        <f>HYPERLINK("https://i.ytimg.com/vi/bUhZmO6P0NU/default.jpg")</f>
        <v>https://i.ytimg.com/vi/bUhZmO6P0NU/default.jpg</v>
      </c>
      <c r="G253" s="66"/>
      <c r="H253" s="70" t="s">
        <v>755</v>
      </c>
      <c r="I253" s="71"/>
      <c r="J253" s="71" t="s">
        <v>159</v>
      </c>
      <c r="K253" s="70" t="s">
        <v>755</v>
      </c>
      <c r="L253" s="74">
        <v>909.9090909090909</v>
      </c>
      <c r="M253" s="75">
        <v>6012.958984375</v>
      </c>
      <c r="N253" s="75">
        <v>719.1021728515625</v>
      </c>
      <c r="O253" s="76"/>
      <c r="P253" s="77"/>
      <c r="Q253" s="77"/>
      <c r="R253" s="91"/>
      <c r="S253" s="48">
        <v>1</v>
      </c>
      <c r="T253" s="48">
        <v>0</v>
      </c>
      <c r="U253" s="49">
        <v>0</v>
      </c>
      <c r="V253" s="49">
        <v>0.000588</v>
      </c>
      <c r="W253" s="49">
        <v>1.1E-05</v>
      </c>
      <c r="X253" s="49">
        <v>0.547726</v>
      </c>
      <c r="Y253" s="49">
        <v>0</v>
      </c>
      <c r="Z253" s="49">
        <v>0</v>
      </c>
      <c r="AA253" s="72">
        <v>253</v>
      </c>
      <c r="AB253" s="72"/>
      <c r="AC253" s="73"/>
      <c r="AD253" s="88" t="s">
        <v>755</v>
      </c>
      <c r="AE253" s="88" t="s">
        <v>1030</v>
      </c>
      <c r="AF253" s="88" t="s">
        <v>1283</v>
      </c>
      <c r="AG253" s="88" t="s">
        <v>1412</v>
      </c>
      <c r="AH253" s="88" t="s">
        <v>1674</v>
      </c>
      <c r="AI253" s="88">
        <v>3965927</v>
      </c>
      <c r="AJ253" s="88">
        <v>13235</v>
      </c>
      <c r="AK253" s="88">
        <v>25074</v>
      </c>
      <c r="AL253" s="88">
        <v>1481</v>
      </c>
      <c r="AM253" s="88" t="s">
        <v>1705</v>
      </c>
      <c r="AN253" s="100" t="str">
        <f>HYPERLINK("https://www.youtube.com/watch?v=bUhZmO6P0NU")</f>
        <v>https://www.youtube.com/watch?v=bUhZmO6P0NU</v>
      </c>
      <c r="AO253" s="88" t="str">
        <f>REPLACE(INDEX(GroupVertices[Group],MATCH(Vertices[[#This Row],[Vertex]],GroupVertices[Vertex],0)),1,1,"")</f>
        <v>7</v>
      </c>
      <c r="AP253" s="48">
        <v>0</v>
      </c>
      <c r="AQ253" s="49">
        <v>0</v>
      </c>
      <c r="AR253" s="48">
        <v>0</v>
      </c>
      <c r="AS253" s="49">
        <v>0</v>
      </c>
      <c r="AT253" s="48">
        <v>0</v>
      </c>
      <c r="AU253" s="49">
        <v>0</v>
      </c>
      <c r="AV253" s="48">
        <v>21</v>
      </c>
      <c r="AW253" s="49">
        <v>100</v>
      </c>
      <c r="AX253" s="48">
        <v>21</v>
      </c>
      <c r="AY253" s="48"/>
      <c r="AZ253" s="48"/>
      <c r="BA253" s="48"/>
      <c r="BB253" s="48"/>
      <c r="BC253" s="2"/>
      <c r="BD253" s="3"/>
      <c r="BE253" s="3"/>
      <c r="BF253" s="3"/>
      <c r="BG253" s="3"/>
    </row>
    <row r="254" spans="1:59" ht="15">
      <c r="A254" s="65" t="s">
        <v>465</v>
      </c>
      <c r="B254" s="66"/>
      <c r="C254" s="66"/>
      <c r="D254" s="67">
        <v>249.0075512812296</v>
      </c>
      <c r="E254" s="69"/>
      <c r="F254" s="98" t="str">
        <f>HYPERLINK("https://i.ytimg.com/vi/jH7ZTcT3ev4/default.jpg")</f>
        <v>https://i.ytimg.com/vi/jH7ZTcT3ev4/default.jpg</v>
      </c>
      <c r="G254" s="66"/>
      <c r="H254" s="70" t="s">
        <v>756</v>
      </c>
      <c r="I254" s="71"/>
      <c r="J254" s="71" t="s">
        <v>159</v>
      </c>
      <c r="K254" s="70" t="s">
        <v>756</v>
      </c>
      <c r="L254" s="74">
        <v>909.9090909090909</v>
      </c>
      <c r="M254" s="75">
        <v>5995.341796875</v>
      </c>
      <c r="N254" s="75">
        <v>2510.763427734375</v>
      </c>
      <c r="O254" s="76"/>
      <c r="P254" s="77"/>
      <c r="Q254" s="77"/>
      <c r="R254" s="91"/>
      <c r="S254" s="48">
        <v>1</v>
      </c>
      <c r="T254" s="48">
        <v>0</v>
      </c>
      <c r="U254" s="49">
        <v>0</v>
      </c>
      <c r="V254" s="49">
        <v>0.000588</v>
      </c>
      <c r="W254" s="49">
        <v>1.1E-05</v>
      </c>
      <c r="X254" s="49">
        <v>0.547726</v>
      </c>
      <c r="Y254" s="49">
        <v>0</v>
      </c>
      <c r="Z254" s="49">
        <v>0</v>
      </c>
      <c r="AA254" s="72">
        <v>254</v>
      </c>
      <c r="AB254" s="72"/>
      <c r="AC254" s="73"/>
      <c r="AD254" s="88" t="s">
        <v>756</v>
      </c>
      <c r="AE254" s="88" t="s">
        <v>1031</v>
      </c>
      <c r="AF254" s="88" t="s">
        <v>1284</v>
      </c>
      <c r="AG254" s="88" t="s">
        <v>1413</v>
      </c>
      <c r="AH254" s="88" t="s">
        <v>1675</v>
      </c>
      <c r="AI254" s="88">
        <v>1559380</v>
      </c>
      <c r="AJ254" s="88">
        <v>4203</v>
      </c>
      <c r="AK254" s="88">
        <v>16321</v>
      </c>
      <c r="AL254" s="88">
        <v>1253</v>
      </c>
      <c r="AM254" s="88" t="s">
        <v>1705</v>
      </c>
      <c r="AN254" s="100" t="str">
        <f>HYPERLINK("https://www.youtube.com/watch?v=jH7ZTcT3ev4")</f>
        <v>https://www.youtube.com/watch?v=jH7ZTcT3ev4</v>
      </c>
      <c r="AO254" s="88" t="str">
        <f>REPLACE(INDEX(GroupVertices[Group],MATCH(Vertices[[#This Row],[Vertex]],GroupVertices[Vertex],0)),1,1,"")</f>
        <v>7</v>
      </c>
      <c r="AP254" s="48">
        <v>0</v>
      </c>
      <c r="AQ254" s="49">
        <v>0</v>
      </c>
      <c r="AR254" s="48">
        <v>3</v>
      </c>
      <c r="AS254" s="49">
        <v>60</v>
      </c>
      <c r="AT254" s="48">
        <v>0</v>
      </c>
      <c r="AU254" s="49">
        <v>0</v>
      </c>
      <c r="AV254" s="48">
        <v>2</v>
      </c>
      <c r="AW254" s="49">
        <v>40</v>
      </c>
      <c r="AX254" s="48">
        <v>5</v>
      </c>
      <c r="AY254" s="48"/>
      <c r="AZ254" s="48"/>
      <c r="BA254" s="48"/>
      <c r="BB254" s="48"/>
      <c r="BC254" s="2"/>
      <c r="BD254" s="3"/>
      <c r="BE254" s="3"/>
      <c r="BF254" s="3"/>
      <c r="BG254" s="3"/>
    </row>
    <row r="255" spans="1:59" ht="15">
      <c r="A255" s="65" t="s">
        <v>466</v>
      </c>
      <c r="B255" s="66"/>
      <c r="C255" s="66"/>
      <c r="D255" s="67">
        <v>112.44220612019468</v>
      </c>
      <c r="E255" s="69"/>
      <c r="F255" s="98" t="str">
        <f>HYPERLINK("https://i.ytimg.com/vi/eXqOw8TB4Ls/default.jpg")</f>
        <v>https://i.ytimg.com/vi/eXqOw8TB4Ls/default.jpg</v>
      </c>
      <c r="G255" s="66"/>
      <c r="H255" s="70" t="s">
        <v>757</v>
      </c>
      <c r="I255" s="71"/>
      <c r="J255" s="71" t="s">
        <v>159</v>
      </c>
      <c r="K255" s="70" t="s">
        <v>757</v>
      </c>
      <c r="L255" s="74">
        <v>909.9090909090909</v>
      </c>
      <c r="M255" s="75">
        <v>7992.8310546875</v>
      </c>
      <c r="N255" s="75">
        <v>1542.494384765625</v>
      </c>
      <c r="O255" s="76"/>
      <c r="P255" s="77"/>
      <c r="Q255" s="77"/>
      <c r="R255" s="91"/>
      <c r="S255" s="48">
        <v>1</v>
      </c>
      <c r="T255" s="48">
        <v>0</v>
      </c>
      <c r="U255" s="49">
        <v>0</v>
      </c>
      <c r="V255" s="49">
        <v>0.000588</v>
      </c>
      <c r="W255" s="49">
        <v>1.1E-05</v>
      </c>
      <c r="X255" s="49">
        <v>0.547726</v>
      </c>
      <c r="Y255" s="49">
        <v>0</v>
      </c>
      <c r="Z255" s="49">
        <v>0</v>
      </c>
      <c r="AA255" s="72">
        <v>255</v>
      </c>
      <c r="AB255" s="72"/>
      <c r="AC255" s="73"/>
      <c r="AD255" s="88" t="s">
        <v>757</v>
      </c>
      <c r="AE255" s="88" t="s">
        <v>1032</v>
      </c>
      <c r="AF255" s="88" t="s">
        <v>1285</v>
      </c>
      <c r="AG255" s="88" t="s">
        <v>1314</v>
      </c>
      <c r="AH255" s="88" t="s">
        <v>1676</v>
      </c>
      <c r="AI255" s="88">
        <v>299402</v>
      </c>
      <c r="AJ255" s="88">
        <v>2563</v>
      </c>
      <c r="AK255" s="88">
        <v>0</v>
      </c>
      <c r="AL255" s="88">
        <v>0</v>
      </c>
      <c r="AM255" s="88" t="s">
        <v>1705</v>
      </c>
      <c r="AN255" s="100" t="str">
        <f>HYPERLINK("https://www.youtube.com/watch?v=eXqOw8TB4Ls")</f>
        <v>https://www.youtube.com/watch?v=eXqOw8TB4Ls</v>
      </c>
      <c r="AO255" s="88" t="str">
        <f>REPLACE(INDEX(GroupVertices[Group],MATCH(Vertices[[#This Row],[Vertex]],GroupVertices[Vertex],0)),1,1,"")</f>
        <v>7</v>
      </c>
      <c r="AP255" s="48">
        <v>1</v>
      </c>
      <c r="AQ255" s="49">
        <v>3.7037037037037037</v>
      </c>
      <c r="AR255" s="48">
        <v>0</v>
      </c>
      <c r="AS255" s="49">
        <v>0</v>
      </c>
      <c r="AT255" s="48">
        <v>0</v>
      </c>
      <c r="AU255" s="49">
        <v>0</v>
      </c>
      <c r="AV255" s="48">
        <v>26</v>
      </c>
      <c r="AW255" s="49">
        <v>96.29629629629629</v>
      </c>
      <c r="AX255" s="48">
        <v>27</v>
      </c>
      <c r="AY255" s="48"/>
      <c r="AZ255" s="48"/>
      <c r="BA255" s="48"/>
      <c r="BB255" s="48"/>
      <c r="BC255" s="2"/>
      <c r="BD255" s="3"/>
      <c r="BE255" s="3"/>
      <c r="BF255" s="3"/>
      <c r="BG255" s="3"/>
    </row>
    <row r="256" spans="1:59" ht="15">
      <c r="A256" s="65" t="s">
        <v>467</v>
      </c>
      <c r="B256" s="66"/>
      <c r="C256" s="66"/>
      <c r="D256" s="67">
        <v>228.92396598718958</v>
      </c>
      <c r="E256" s="69"/>
      <c r="F256" s="98" t="str">
        <f>HYPERLINK("https://i.ytimg.com/vi/JP3416CgU0Q/default.jpg")</f>
        <v>https://i.ytimg.com/vi/JP3416CgU0Q/default.jpg</v>
      </c>
      <c r="G256" s="66"/>
      <c r="H256" s="70" t="s">
        <v>758</v>
      </c>
      <c r="I256" s="71"/>
      <c r="J256" s="71" t="s">
        <v>159</v>
      </c>
      <c r="K256" s="70" t="s">
        <v>758</v>
      </c>
      <c r="L256" s="74">
        <v>909.9090909090909</v>
      </c>
      <c r="M256" s="75">
        <v>6806.77783203125</v>
      </c>
      <c r="N256" s="75">
        <v>3121.0751953125</v>
      </c>
      <c r="O256" s="76"/>
      <c r="P256" s="77"/>
      <c r="Q256" s="77"/>
      <c r="R256" s="91"/>
      <c r="S256" s="48">
        <v>1</v>
      </c>
      <c r="T256" s="48">
        <v>0</v>
      </c>
      <c r="U256" s="49">
        <v>0</v>
      </c>
      <c r="V256" s="49">
        <v>0.000588</v>
      </c>
      <c r="W256" s="49">
        <v>1.1E-05</v>
      </c>
      <c r="X256" s="49">
        <v>0.547726</v>
      </c>
      <c r="Y256" s="49">
        <v>0</v>
      </c>
      <c r="Z256" s="49">
        <v>0</v>
      </c>
      <c r="AA256" s="72">
        <v>256</v>
      </c>
      <c r="AB256" s="72"/>
      <c r="AC256" s="73"/>
      <c r="AD256" s="88" t="s">
        <v>758</v>
      </c>
      <c r="AE256" s="88" t="s">
        <v>1033</v>
      </c>
      <c r="AF256" s="88" t="s">
        <v>1286</v>
      </c>
      <c r="AG256" s="88" t="s">
        <v>1414</v>
      </c>
      <c r="AH256" s="88" t="s">
        <v>1677</v>
      </c>
      <c r="AI256" s="88">
        <v>1374085</v>
      </c>
      <c r="AJ256" s="88">
        <v>4879</v>
      </c>
      <c r="AK256" s="88">
        <v>43938</v>
      </c>
      <c r="AL256" s="88">
        <v>1708</v>
      </c>
      <c r="AM256" s="88" t="s">
        <v>1705</v>
      </c>
      <c r="AN256" s="100" t="str">
        <f>HYPERLINK("https://www.youtube.com/watch?v=JP3416CgU0Q")</f>
        <v>https://www.youtube.com/watch?v=JP3416CgU0Q</v>
      </c>
      <c r="AO256" s="88" t="str">
        <f>REPLACE(INDEX(GroupVertices[Group],MATCH(Vertices[[#This Row],[Vertex]],GroupVertices[Vertex],0)),1,1,"")</f>
        <v>7</v>
      </c>
      <c r="AP256" s="48">
        <v>1</v>
      </c>
      <c r="AQ256" s="49">
        <v>1.5151515151515151</v>
      </c>
      <c r="AR256" s="48">
        <v>5</v>
      </c>
      <c r="AS256" s="49">
        <v>7.575757575757576</v>
      </c>
      <c r="AT256" s="48">
        <v>0</v>
      </c>
      <c r="AU256" s="49">
        <v>0</v>
      </c>
      <c r="AV256" s="48">
        <v>60</v>
      </c>
      <c r="AW256" s="49">
        <v>90.9090909090909</v>
      </c>
      <c r="AX256" s="48">
        <v>66</v>
      </c>
      <c r="AY256" s="48"/>
      <c r="AZ256" s="48"/>
      <c r="BA256" s="48"/>
      <c r="BB256" s="48"/>
      <c r="BC256" s="2"/>
      <c r="BD256" s="3"/>
      <c r="BE256" s="3"/>
      <c r="BF256" s="3"/>
      <c r="BG256" s="3"/>
    </row>
    <row r="257" spans="1:59" ht="15">
      <c r="A257" s="65" t="s">
        <v>468</v>
      </c>
      <c r="B257" s="66"/>
      <c r="C257" s="66"/>
      <c r="D257" s="67">
        <v>982.110819670277</v>
      </c>
      <c r="E257" s="69"/>
      <c r="F257" s="98" t="str">
        <f>HYPERLINK("https://i.ytimg.com/vi/UrnmBLB-UX4/default.jpg")</f>
        <v>https://i.ytimg.com/vi/UrnmBLB-UX4/default.jpg</v>
      </c>
      <c r="G257" s="66"/>
      <c r="H257" s="70" t="s">
        <v>759</v>
      </c>
      <c r="I257" s="71"/>
      <c r="J257" s="71" t="s">
        <v>159</v>
      </c>
      <c r="K257" s="70" t="s">
        <v>759</v>
      </c>
      <c r="L257" s="74">
        <v>909.9090909090909</v>
      </c>
      <c r="M257" s="75">
        <v>7407.66796875</v>
      </c>
      <c r="N257" s="75">
        <v>2161.307861328125</v>
      </c>
      <c r="O257" s="76"/>
      <c r="P257" s="77"/>
      <c r="Q257" s="77"/>
      <c r="R257" s="91"/>
      <c r="S257" s="48">
        <v>1</v>
      </c>
      <c r="T257" s="48">
        <v>0</v>
      </c>
      <c r="U257" s="49">
        <v>0</v>
      </c>
      <c r="V257" s="49">
        <v>0.000588</v>
      </c>
      <c r="W257" s="49">
        <v>1.1E-05</v>
      </c>
      <c r="X257" s="49">
        <v>0.547726</v>
      </c>
      <c r="Y257" s="49">
        <v>0</v>
      </c>
      <c r="Z257" s="49">
        <v>0</v>
      </c>
      <c r="AA257" s="72">
        <v>257</v>
      </c>
      <c r="AB257" s="72"/>
      <c r="AC257" s="73"/>
      <c r="AD257" s="88" t="s">
        <v>759</v>
      </c>
      <c r="AE257" s="88" t="s">
        <v>1034</v>
      </c>
      <c r="AF257" s="88" t="s">
        <v>1287</v>
      </c>
      <c r="AG257" s="88" t="s">
        <v>1415</v>
      </c>
      <c r="AH257" s="88" t="s">
        <v>1678</v>
      </c>
      <c r="AI257" s="88">
        <v>8323131</v>
      </c>
      <c r="AJ257" s="88">
        <v>44418</v>
      </c>
      <c r="AK257" s="88">
        <v>200369</v>
      </c>
      <c r="AL257" s="88">
        <v>6348</v>
      </c>
      <c r="AM257" s="88" t="s">
        <v>1705</v>
      </c>
      <c r="AN257" s="100" t="str">
        <f>HYPERLINK("https://www.youtube.com/watch?v=UrnmBLB-UX4")</f>
        <v>https://www.youtube.com/watch?v=UrnmBLB-UX4</v>
      </c>
      <c r="AO257" s="88" t="str">
        <f>REPLACE(INDEX(GroupVertices[Group],MATCH(Vertices[[#This Row],[Vertex]],GroupVertices[Vertex],0)),1,1,"")</f>
        <v>7</v>
      </c>
      <c r="AP257" s="48">
        <v>0</v>
      </c>
      <c r="AQ257" s="49">
        <v>0</v>
      </c>
      <c r="AR257" s="48">
        <v>11</v>
      </c>
      <c r="AS257" s="49">
        <v>20.754716981132077</v>
      </c>
      <c r="AT257" s="48">
        <v>0</v>
      </c>
      <c r="AU257" s="49">
        <v>0</v>
      </c>
      <c r="AV257" s="48">
        <v>42</v>
      </c>
      <c r="AW257" s="49">
        <v>79.24528301886792</v>
      </c>
      <c r="AX257" s="48">
        <v>53</v>
      </c>
      <c r="AY257" s="48"/>
      <c r="AZ257" s="48"/>
      <c r="BA257" s="48"/>
      <c r="BB257" s="48"/>
      <c r="BC257" s="2"/>
      <c r="BD257" s="3"/>
      <c r="BE257" s="3"/>
      <c r="BF257" s="3"/>
      <c r="BG257" s="3"/>
    </row>
    <row r="258" spans="1:59" ht="15">
      <c r="A258" s="65" t="s">
        <v>469</v>
      </c>
      <c r="B258" s="66"/>
      <c r="C258" s="66"/>
      <c r="D258" s="67">
        <v>148.65628286956226</v>
      </c>
      <c r="E258" s="69"/>
      <c r="F258" s="98" t="str">
        <f>HYPERLINK("https://i.ytimg.com/vi/JowNX7QsEkg/default.jpg")</f>
        <v>https://i.ytimg.com/vi/JowNX7QsEkg/default.jpg</v>
      </c>
      <c r="G258" s="66"/>
      <c r="H258" s="70" t="s">
        <v>760</v>
      </c>
      <c r="I258" s="71"/>
      <c r="J258" s="71" t="s">
        <v>159</v>
      </c>
      <c r="K258" s="70" t="s">
        <v>760</v>
      </c>
      <c r="L258" s="74">
        <v>909.9090909090909</v>
      </c>
      <c r="M258" s="75">
        <v>6727.63427734375</v>
      </c>
      <c r="N258" s="75">
        <v>2457.82177734375</v>
      </c>
      <c r="O258" s="76"/>
      <c r="P258" s="77"/>
      <c r="Q258" s="77"/>
      <c r="R258" s="91"/>
      <c r="S258" s="48">
        <v>1</v>
      </c>
      <c r="T258" s="48">
        <v>0</v>
      </c>
      <c r="U258" s="49">
        <v>0</v>
      </c>
      <c r="V258" s="49">
        <v>0.000588</v>
      </c>
      <c r="W258" s="49">
        <v>1.1E-05</v>
      </c>
      <c r="X258" s="49">
        <v>0.547726</v>
      </c>
      <c r="Y258" s="49">
        <v>0</v>
      </c>
      <c r="Z258" s="49">
        <v>0</v>
      </c>
      <c r="AA258" s="72">
        <v>258</v>
      </c>
      <c r="AB258" s="72"/>
      <c r="AC258" s="73"/>
      <c r="AD258" s="88" t="s">
        <v>760</v>
      </c>
      <c r="AE258" s="88" t="s">
        <v>1035</v>
      </c>
      <c r="AF258" s="88" t="s">
        <v>1288</v>
      </c>
      <c r="AG258" s="88" t="s">
        <v>1355</v>
      </c>
      <c r="AH258" s="88" t="s">
        <v>1679</v>
      </c>
      <c r="AI258" s="88">
        <v>633520</v>
      </c>
      <c r="AJ258" s="88">
        <v>2965</v>
      </c>
      <c r="AK258" s="88">
        <v>10181</v>
      </c>
      <c r="AL258" s="88">
        <v>381</v>
      </c>
      <c r="AM258" s="88" t="s">
        <v>1705</v>
      </c>
      <c r="AN258" s="100" t="str">
        <f>HYPERLINK("https://www.youtube.com/watch?v=JowNX7QsEkg")</f>
        <v>https://www.youtube.com/watch?v=JowNX7QsEkg</v>
      </c>
      <c r="AO258" s="88" t="str">
        <f>REPLACE(INDEX(GroupVertices[Group],MATCH(Vertices[[#This Row],[Vertex]],GroupVertices[Vertex],0)),1,1,"")</f>
        <v>7</v>
      </c>
      <c r="AP258" s="48">
        <v>2</v>
      </c>
      <c r="AQ258" s="49">
        <v>2.898550724637681</v>
      </c>
      <c r="AR258" s="48">
        <v>1</v>
      </c>
      <c r="AS258" s="49">
        <v>1.4492753623188406</v>
      </c>
      <c r="AT258" s="48">
        <v>0</v>
      </c>
      <c r="AU258" s="49">
        <v>0</v>
      </c>
      <c r="AV258" s="48">
        <v>66</v>
      </c>
      <c r="AW258" s="49">
        <v>95.65217391304348</v>
      </c>
      <c r="AX258" s="48">
        <v>69</v>
      </c>
      <c r="AY258" s="48"/>
      <c r="AZ258" s="48"/>
      <c r="BA258" s="48"/>
      <c r="BB258" s="48"/>
      <c r="BC258" s="2"/>
      <c r="BD258" s="3"/>
      <c r="BE258" s="3"/>
      <c r="BF258" s="3"/>
      <c r="BG258" s="3"/>
    </row>
    <row r="259" spans="1:59" ht="15">
      <c r="A259" s="65" t="s">
        <v>470</v>
      </c>
      <c r="B259" s="66"/>
      <c r="C259" s="66"/>
      <c r="D259" s="67">
        <v>110.59897531790403</v>
      </c>
      <c r="E259" s="69"/>
      <c r="F259" s="98" t="str">
        <f>HYPERLINK("https://i.ytimg.com/vi/16EL-ZexH5A/default.jpg")</f>
        <v>https://i.ytimg.com/vi/16EL-ZexH5A/default.jpg</v>
      </c>
      <c r="G259" s="66"/>
      <c r="H259" s="70" t="s">
        <v>761</v>
      </c>
      <c r="I259" s="71"/>
      <c r="J259" s="71" t="s">
        <v>159</v>
      </c>
      <c r="K259" s="70" t="s">
        <v>761</v>
      </c>
      <c r="L259" s="74">
        <v>909.9090909090909</v>
      </c>
      <c r="M259" s="75">
        <v>6416.7490234375</v>
      </c>
      <c r="N259" s="75">
        <v>315.8473815917969</v>
      </c>
      <c r="O259" s="76"/>
      <c r="P259" s="77"/>
      <c r="Q259" s="77"/>
      <c r="R259" s="91"/>
      <c r="S259" s="48">
        <v>1</v>
      </c>
      <c r="T259" s="48">
        <v>0</v>
      </c>
      <c r="U259" s="49">
        <v>0</v>
      </c>
      <c r="V259" s="49">
        <v>0.000588</v>
      </c>
      <c r="W259" s="49">
        <v>1.1E-05</v>
      </c>
      <c r="X259" s="49">
        <v>0.547726</v>
      </c>
      <c r="Y259" s="49">
        <v>0</v>
      </c>
      <c r="Z259" s="49">
        <v>0</v>
      </c>
      <c r="AA259" s="72">
        <v>259</v>
      </c>
      <c r="AB259" s="72"/>
      <c r="AC259" s="73"/>
      <c r="AD259" s="88" t="s">
        <v>761</v>
      </c>
      <c r="AE259" s="88" t="s">
        <v>1036</v>
      </c>
      <c r="AF259" s="88" t="s">
        <v>1289</v>
      </c>
      <c r="AG259" s="88" t="s">
        <v>1416</v>
      </c>
      <c r="AH259" s="88" t="s">
        <v>1680</v>
      </c>
      <c r="AI259" s="88">
        <v>282396</v>
      </c>
      <c r="AJ259" s="88">
        <v>2629</v>
      </c>
      <c r="AK259" s="88">
        <v>9022</v>
      </c>
      <c r="AL259" s="88">
        <v>409</v>
      </c>
      <c r="AM259" s="88" t="s">
        <v>1705</v>
      </c>
      <c r="AN259" s="100" t="str">
        <f>HYPERLINK("https://www.youtube.com/watch?v=16EL-ZexH5A")</f>
        <v>https://www.youtube.com/watch?v=16EL-ZexH5A</v>
      </c>
      <c r="AO259" s="88" t="str">
        <f>REPLACE(INDEX(GroupVertices[Group],MATCH(Vertices[[#This Row],[Vertex]],GroupVertices[Vertex],0)),1,1,"")</f>
        <v>7</v>
      </c>
      <c r="AP259" s="48">
        <v>1</v>
      </c>
      <c r="AQ259" s="49">
        <v>2</v>
      </c>
      <c r="AR259" s="48">
        <v>2</v>
      </c>
      <c r="AS259" s="49">
        <v>4</v>
      </c>
      <c r="AT259" s="48">
        <v>0</v>
      </c>
      <c r="AU259" s="49">
        <v>0</v>
      </c>
      <c r="AV259" s="48">
        <v>47</v>
      </c>
      <c r="AW259" s="49">
        <v>94</v>
      </c>
      <c r="AX259" s="48">
        <v>50</v>
      </c>
      <c r="AY259" s="48"/>
      <c r="AZ259" s="48"/>
      <c r="BA259" s="48"/>
      <c r="BB259" s="48"/>
      <c r="BC259" s="2"/>
      <c r="BD259" s="3"/>
      <c r="BE259" s="3"/>
      <c r="BF259" s="3"/>
      <c r="BG259" s="3"/>
    </row>
    <row r="260" spans="1:59" ht="15">
      <c r="A260" s="65" t="s">
        <v>471</v>
      </c>
      <c r="B260" s="66"/>
      <c r="C260" s="66"/>
      <c r="D260" s="67">
        <v>120.61697699931764</v>
      </c>
      <c r="E260" s="69"/>
      <c r="F260" s="98" t="str">
        <f>HYPERLINK("https://i.ytimg.com/vi/3wQx-BjmfJk/default.jpg")</f>
        <v>https://i.ytimg.com/vi/3wQx-BjmfJk/default.jpg</v>
      </c>
      <c r="G260" s="66"/>
      <c r="H260" s="70" t="s">
        <v>762</v>
      </c>
      <c r="I260" s="71"/>
      <c r="J260" s="71" t="s">
        <v>159</v>
      </c>
      <c r="K260" s="70" t="s">
        <v>762</v>
      </c>
      <c r="L260" s="74">
        <v>909.9090909090909</v>
      </c>
      <c r="M260" s="75">
        <v>7489.5185546875</v>
      </c>
      <c r="N260" s="75">
        <v>1284.9244384765625</v>
      </c>
      <c r="O260" s="76"/>
      <c r="P260" s="77"/>
      <c r="Q260" s="77"/>
      <c r="R260" s="91"/>
      <c r="S260" s="48">
        <v>1</v>
      </c>
      <c r="T260" s="48">
        <v>0</v>
      </c>
      <c r="U260" s="49">
        <v>0</v>
      </c>
      <c r="V260" s="49">
        <v>0.000588</v>
      </c>
      <c r="W260" s="49">
        <v>1.1E-05</v>
      </c>
      <c r="X260" s="49">
        <v>0.547726</v>
      </c>
      <c r="Y260" s="49">
        <v>0</v>
      </c>
      <c r="Z260" s="49">
        <v>0</v>
      </c>
      <c r="AA260" s="72">
        <v>260</v>
      </c>
      <c r="AB260" s="72"/>
      <c r="AC260" s="73"/>
      <c r="AD260" s="88" t="s">
        <v>762</v>
      </c>
      <c r="AE260" s="88" t="s">
        <v>1037</v>
      </c>
      <c r="AF260" s="88"/>
      <c r="AG260" s="88" t="s">
        <v>1417</v>
      </c>
      <c r="AH260" s="88" t="s">
        <v>1681</v>
      </c>
      <c r="AI260" s="88">
        <v>374824</v>
      </c>
      <c r="AJ260" s="88">
        <v>8137</v>
      </c>
      <c r="AK260" s="88">
        <v>38458</v>
      </c>
      <c r="AL260" s="88">
        <v>654</v>
      </c>
      <c r="AM260" s="88" t="s">
        <v>1705</v>
      </c>
      <c r="AN260" s="100" t="str">
        <f>HYPERLINK("https://www.youtube.com/watch?v=3wQx-BjmfJk")</f>
        <v>https://www.youtube.com/watch?v=3wQx-BjmfJk</v>
      </c>
      <c r="AO260" s="88" t="str">
        <f>REPLACE(INDEX(GroupVertices[Group],MATCH(Vertices[[#This Row],[Vertex]],GroupVertices[Vertex],0)),1,1,"")</f>
        <v>7</v>
      </c>
      <c r="AP260" s="48"/>
      <c r="AQ260" s="49"/>
      <c r="AR260" s="48"/>
      <c r="AS260" s="49"/>
      <c r="AT260" s="48"/>
      <c r="AU260" s="49"/>
      <c r="AV260" s="48"/>
      <c r="AW260" s="49"/>
      <c r="AX260" s="48"/>
      <c r="AY260" s="48"/>
      <c r="AZ260" s="48"/>
      <c r="BA260" s="48"/>
      <c r="BB260" s="48"/>
      <c r="BC260" s="2"/>
      <c r="BD260" s="3"/>
      <c r="BE260" s="3"/>
      <c r="BF260" s="3"/>
      <c r="BG260" s="3"/>
    </row>
    <row r="261" spans="1:59" ht="15">
      <c r="A261" s="65" t="s">
        <v>472</v>
      </c>
      <c r="B261" s="66"/>
      <c r="C261" s="66"/>
      <c r="D261" s="67">
        <v>83.62153773944121</v>
      </c>
      <c r="E261" s="69"/>
      <c r="F261" s="98" t="str">
        <f>HYPERLINK("https://i.ytimg.com/vi/P_s4ixua1qs/default.jpg")</f>
        <v>https://i.ytimg.com/vi/P_s4ixua1qs/default.jpg</v>
      </c>
      <c r="G261" s="66"/>
      <c r="H261" s="70" t="s">
        <v>763</v>
      </c>
      <c r="I261" s="71"/>
      <c r="J261" s="71" t="s">
        <v>159</v>
      </c>
      <c r="K261" s="70" t="s">
        <v>763</v>
      </c>
      <c r="L261" s="74">
        <v>909.9090909090909</v>
      </c>
      <c r="M261" s="75">
        <v>7658.93408203125</v>
      </c>
      <c r="N261" s="75">
        <v>2722.155517578125</v>
      </c>
      <c r="O261" s="76"/>
      <c r="P261" s="77"/>
      <c r="Q261" s="77"/>
      <c r="R261" s="91"/>
      <c r="S261" s="48">
        <v>1</v>
      </c>
      <c r="T261" s="48">
        <v>0</v>
      </c>
      <c r="U261" s="49">
        <v>0</v>
      </c>
      <c r="V261" s="49">
        <v>0.000588</v>
      </c>
      <c r="W261" s="49">
        <v>1.1E-05</v>
      </c>
      <c r="X261" s="49">
        <v>0.547726</v>
      </c>
      <c r="Y261" s="49">
        <v>0</v>
      </c>
      <c r="Z261" s="49">
        <v>0</v>
      </c>
      <c r="AA261" s="72">
        <v>261</v>
      </c>
      <c r="AB261" s="72"/>
      <c r="AC261" s="73"/>
      <c r="AD261" s="88" t="s">
        <v>763</v>
      </c>
      <c r="AE261" s="88" t="s">
        <v>1038</v>
      </c>
      <c r="AF261" s="88" t="s">
        <v>1290</v>
      </c>
      <c r="AG261" s="88" t="s">
        <v>1411</v>
      </c>
      <c r="AH261" s="88" t="s">
        <v>1682</v>
      </c>
      <c r="AI261" s="88">
        <v>33497</v>
      </c>
      <c r="AJ261" s="88">
        <v>200</v>
      </c>
      <c r="AK261" s="88">
        <v>0</v>
      </c>
      <c r="AL261" s="88">
        <v>0</v>
      </c>
      <c r="AM261" s="88" t="s">
        <v>1705</v>
      </c>
      <c r="AN261" s="100" t="str">
        <f>HYPERLINK("https://www.youtube.com/watch?v=P_s4ixua1qs")</f>
        <v>https://www.youtube.com/watch?v=P_s4ixua1qs</v>
      </c>
      <c r="AO261" s="88" t="str">
        <f>REPLACE(INDEX(GroupVertices[Group],MATCH(Vertices[[#This Row],[Vertex]],GroupVertices[Vertex],0)),1,1,"")</f>
        <v>7</v>
      </c>
      <c r="AP261" s="48">
        <v>2</v>
      </c>
      <c r="AQ261" s="49">
        <v>11.764705882352942</v>
      </c>
      <c r="AR261" s="48">
        <v>1</v>
      </c>
      <c r="AS261" s="49">
        <v>5.882352941176471</v>
      </c>
      <c r="AT261" s="48">
        <v>0</v>
      </c>
      <c r="AU261" s="49">
        <v>0</v>
      </c>
      <c r="AV261" s="48">
        <v>14</v>
      </c>
      <c r="AW261" s="49">
        <v>82.3529411764706</v>
      </c>
      <c r="AX261" s="48">
        <v>17</v>
      </c>
      <c r="AY261" s="48"/>
      <c r="AZ261" s="48"/>
      <c r="BA261" s="48"/>
      <c r="BB261" s="48"/>
      <c r="BC261" s="2"/>
      <c r="BD261" s="3"/>
      <c r="BE261" s="3"/>
      <c r="BF261" s="3"/>
      <c r="BG261" s="3"/>
    </row>
    <row r="262" spans="1:59" ht="15">
      <c r="A262" s="65" t="s">
        <v>473</v>
      </c>
      <c r="B262" s="66"/>
      <c r="C262" s="66"/>
      <c r="D262" s="67">
        <v>134.53832284648996</v>
      </c>
      <c r="E262" s="69"/>
      <c r="F262" s="98" t="str">
        <f>HYPERLINK("https://i.ytimg.com/vi/g3r4999Z4a8/default.jpg")</f>
        <v>https://i.ytimg.com/vi/g3r4999Z4a8/default.jpg</v>
      </c>
      <c r="G262" s="66"/>
      <c r="H262" s="70" t="s">
        <v>764</v>
      </c>
      <c r="I262" s="71"/>
      <c r="J262" s="71" t="s">
        <v>159</v>
      </c>
      <c r="K262" s="70" t="s">
        <v>764</v>
      </c>
      <c r="L262" s="74">
        <v>909.9090909090909</v>
      </c>
      <c r="M262" s="75">
        <v>6478.44970703125</v>
      </c>
      <c r="N262" s="75">
        <v>990.9759521484375</v>
      </c>
      <c r="O262" s="76"/>
      <c r="P262" s="77"/>
      <c r="Q262" s="77"/>
      <c r="R262" s="91"/>
      <c r="S262" s="48">
        <v>1</v>
      </c>
      <c r="T262" s="48">
        <v>0</v>
      </c>
      <c r="U262" s="49">
        <v>0</v>
      </c>
      <c r="V262" s="49">
        <v>0.000588</v>
      </c>
      <c r="W262" s="49">
        <v>1.1E-05</v>
      </c>
      <c r="X262" s="49">
        <v>0.547726</v>
      </c>
      <c r="Y262" s="49">
        <v>0</v>
      </c>
      <c r="Z262" s="49">
        <v>0</v>
      </c>
      <c r="AA262" s="72">
        <v>262</v>
      </c>
      <c r="AB262" s="72"/>
      <c r="AC262" s="73"/>
      <c r="AD262" s="88" t="s">
        <v>764</v>
      </c>
      <c r="AE262" s="88" t="s">
        <v>1039</v>
      </c>
      <c r="AF262" s="88" t="s">
        <v>1291</v>
      </c>
      <c r="AG262" s="88" t="s">
        <v>1418</v>
      </c>
      <c r="AH262" s="88" t="s">
        <v>1683</v>
      </c>
      <c r="AI262" s="88">
        <v>503265</v>
      </c>
      <c r="AJ262" s="88">
        <v>4440</v>
      </c>
      <c r="AK262" s="88">
        <v>12055</v>
      </c>
      <c r="AL262" s="88">
        <v>570</v>
      </c>
      <c r="AM262" s="88" t="s">
        <v>1705</v>
      </c>
      <c r="AN262" s="100" t="str">
        <f>HYPERLINK("https://www.youtube.com/watch?v=g3r4999Z4a8")</f>
        <v>https://www.youtube.com/watch?v=g3r4999Z4a8</v>
      </c>
      <c r="AO262" s="88" t="str">
        <f>REPLACE(INDEX(GroupVertices[Group],MATCH(Vertices[[#This Row],[Vertex]],GroupVertices[Vertex],0)),1,1,"")</f>
        <v>7</v>
      </c>
      <c r="AP262" s="48">
        <v>0</v>
      </c>
      <c r="AQ262" s="49">
        <v>0</v>
      </c>
      <c r="AR262" s="48">
        <v>1</v>
      </c>
      <c r="AS262" s="49">
        <v>6.25</v>
      </c>
      <c r="AT262" s="48">
        <v>0</v>
      </c>
      <c r="AU262" s="49">
        <v>0</v>
      </c>
      <c r="AV262" s="48">
        <v>15</v>
      </c>
      <c r="AW262" s="49">
        <v>93.75</v>
      </c>
      <c r="AX262" s="48">
        <v>16</v>
      </c>
      <c r="AY262" s="48"/>
      <c r="AZ262" s="48"/>
      <c r="BA262" s="48"/>
      <c r="BB262" s="48"/>
      <c r="BC262" s="2"/>
      <c r="BD262" s="3"/>
      <c r="BE262" s="3"/>
      <c r="BF262" s="3"/>
      <c r="BG262" s="3"/>
    </row>
    <row r="263" spans="1:59" ht="15">
      <c r="A263" s="65" t="s">
        <v>233</v>
      </c>
      <c r="B263" s="66"/>
      <c r="C263" s="66"/>
      <c r="D263" s="67">
        <v>85.46834531560435</v>
      </c>
      <c r="E263" s="69"/>
      <c r="F263" s="98" t="str">
        <f>HYPERLINK("https://i.ytimg.com/vi/h_0F69H8ngM/default.jpg")</f>
        <v>https://i.ytimg.com/vi/h_0F69H8ngM/default.jpg</v>
      </c>
      <c r="G263" s="66"/>
      <c r="H263" s="70" t="s">
        <v>765</v>
      </c>
      <c r="I263" s="71"/>
      <c r="J263" s="71" t="s">
        <v>159</v>
      </c>
      <c r="K263" s="70" t="s">
        <v>765</v>
      </c>
      <c r="L263" s="74">
        <v>1</v>
      </c>
      <c r="M263" s="75">
        <v>8879.138671875</v>
      </c>
      <c r="N263" s="75">
        <v>4902.44140625</v>
      </c>
      <c r="O263" s="76"/>
      <c r="P263" s="77"/>
      <c r="Q263" s="77"/>
      <c r="R263" s="91"/>
      <c r="S263" s="48">
        <v>0</v>
      </c>
      <c r="T263" s="48">
        <v>20</v>
      </c>
      <c r="U263" s="49">
        <v>10222</v>
      </c>
      <c r="V263" s="49">
        <v>0.00073</v>
      </c>
      <c r="W263" s="49">
        <v>0.000198</v>
      </c>
      <c r="X263" s="49">
        <v>9.284977</v>
      </c>
      <c r="Y263" s="49">
        <v>0</v>
      </c>
      <c r="Z263" s="49">
        <v>0</v>
      </c>
      <c r="AA263" s="72">
        <v>263</v>
      </c>
      <c r="AB263" s="72"/>
      <c r="AC263" s="73"/>
      <c r="AD263" s="88" t="s">
        <v>765</v>
      </c>
      <c r="AE263" s="88" t="s">
        <v>1040</v>
      </c>
      <c r="AF263" s="88" t="s">
        <v>1292</v>
      </c>
      <c r="AG263" s="88" t="s">
        <v>1419</v>
      </c>
      <c r="AH263" s="88" t="s">
        <v>1684</v>
      </c>
      <c r="AI263" s="88">
        <v>50536</v>
      </c>
      <c r="AJ263" s="88">
        <v>373</v>
      </c>
      <c r="AK263" s="88">
        <v>5028</v>
      </c>
      <c r="AL263" s="88">
        <v>229</v>
      </c>
      <c r="AM263" s="88" t="s">
        <v>1705</v>
      </c>
      <c r="AN263" s="100" t="str">
        <f>HYPERLINK("https://www.youtube.com/watch?v=h_0F69H8ngM")</f>
        <v>https://www.youtube.com/watch?v=h_0F69H8ngM</v>
      </c>
      <c r="AO263" s="88" t="str">
        <f>REPLACE(INDEX(GroupVertices[Group],MATCH(Vertices[[#This Row],[Vertex]],GroupVertices[Vertex],0)),1,1,"")</f>
        <v>6</v>
      </c>
      <c r="AP263" s="48">
        <v>0</v>
      </c>
      <c r="AQ263" s="49">
        <v>0</v>
      </c>
      <c r="AR263" s="48">
        <v>0</v>
      </c>
      <c r="AS263" s="49">
        <v>0</v>
      </c>
      <c r="AT263" s="48">
        <v>0</v>
      </c>
      <c r="AU263" s="49">
        <v>0</v>
      </c>
      <c r="AV263" s="48">
        <v>35</v>
      </c>
      <c r="AW263" s="49">
        <v>100</v>
      </c>
      <c r="AX263" s="48">
        <v>35</v>
      </c>
      <c r="AY263" s="121" t="s">
        <v>2747</v>
      </c>
      <c r="AZ263" s="121" t="s">
        <v>2747</v>
      </c>
      <c r="BA263" s="121" t="s">
        <v>2747</v>
      </c>
      <c r="BB263" s="121" t="s">
        <v>2747</v>
      </c>
      <c r="BC263" s="2"/>
      <c r="BD263" s="3"/>
      <c r="BE263" s="3"/>
      <c r="BF263" s="3"/>
      <c r="BG263" s="3"/>
    </row>
    <row r="264" spans="1:59" ht="15">
      <c r="A264" s="65" t="s">
        <v>474</v>
      </c>
      <c r="B264" s="66"/>
      <c r="C264" s="66"/>
      <c r="D264" s="67">
        <v>90.26609972366005</v>
      </c>
      <c r="E264" s="69"/>
      <c r="F264" s="98" t="str">
        <f>HYPERLINK("https://i.ytimg.com/vi/MXXGGijcLfw/default.jpg")</f>
        <v>https://i.ytimg.com/vi/MXXGGijcLfw/default.jpg</v>
      </c>
      <c r="G264" s="66"/>
      <c r="H264" s="70" t="s">
        <v>766</v>
      </c>
      <c r="I264" s="71"/>
      <c r="J264" s="71" t="s">
        <v>159</v>
      </c>
      <c r="K264" s="70" t="s">
        <v>766</v>
      </c>
      <c r="L264" s="74">
        <v>909.9090909090909</v>
      </c>
      <c r="M264" s="75">
        <v>7879.001953125</v>
      </c>
      <c r="N264" s="75">
        <v>5305.62158203125</v>
      </c>
      <c r="O264" s="76"/>
      <c r="P264" s="77"/>
      <c r="Q264" s="77"/>
      <c r="R264" s="91"/>
      <c r="S264" s="48">
        <v>1</v>
      </c>
      <c r="T264" s="48">
        <v>0</v>
      </c>
      <c r="U264" s="49">
        <v>0</v>
      </c>
      <c r="V264" s="49">
        <v>0.000607</v>
      </c>
      <c r="W264" s="49">
        <v>2E-05</v>
      </c>
      <c r="X264" s="49">
        <v>0.544611</v>
      </c>
      <c r="Y264" s="49">
        <v>0</v>
      </c>
      <c r="Z264" s="49">
        <v>0</v>
      </c>
      <c r="AA264" s="72">
        <v>264</v>
      </c>
      <c r="AB264" s="72"/>
      <c r="AC264" s="73"/>
      <c r="AD264" s="88" t="s">
        <v>766</v>
      </c>
      <c r="AE264" s="88" t="s">
        <v>1041</v>
      </c>
      <c r="AF264" s="88" t="s">
        <v>1293</v>
      </c>
      <c r="AG264" s="88" t="s">
        <v>1419</v>
      </c>
      <c r="AH264" s="88" t="s">
        <v>1685</v>
      </c>
      <c r="AI264" s="88">
        <v>94801</v>
      </c>
      <c r="AJ264" s="88">
        <v>378</v>
      </c>
      <c r="AK264" s="88">
        <v>8411</v>
      </c>
      <c r="AL264" s="88">
        <v>223</v>
      </c>
      <c r="AM264" s="88" t="s">
        <v>1705</v>
      </c>
      <c r="AN264" s="100" t="str">
        <f>HYPERLINK("https://www.youtube.com/watch?v=MXXGGijcLfw")</f>
        <v>https://www.youtube.com/watch?v=MXXGGijcLfw</v>
      </c>
      <c r="AO264" s="88" t="str">
        <f>REPLACE(INDEX(GroupVertices[Group],MATCH(Vertices[[#This Row],[Vertex]],GroupVertices[Vertex],0)),1,1,"")</f>
        <v>6</v>
      </c>
      <c r="AP264" s="48">
        <v>0</v>
      </c>
      <c r="AQ264" s="49">
        <v>0</v>
      </c>
      <c r="AR264" s="48">
        <v>0</v>
      </c>
      <c r="AS264" s="49">
        <v>0</v>
      </c>
      <c r="AT264" s="48">
        <v>0</v>
      </c>
      <c r="AU264" s="49">
        <v>0</v>
      </c>
      <c r="AV264" s="48">
        <v>36</v>
      </c>
      <c r="AW264" s="49">
        <v>100</v>
      </c>
      <c r="AX264" s="48">
        <v>36</v>
      </c>
      <c r="AY264" s="48"/>
      <c r="AZ264" s="48"/>
      <c r="BA264" s="48"/>
      <c r="BB264" s="48"/>
      <c r="BC264" s="2"/>
      <c r="BD264" s="3"/>
      <c r="BE264" s="3"/>
      <c r="BF264" s="3"/>
      <c r="BG264" s="3"/>
    </row>
    <row r="265" spans="1:59" ht="15">
      <c r="A265" s="65" t="s">
        <v>475</v>
      </c>
      <c r="B265" s="66"/>
      <c r="C265" s="66"/>
      <c r="D265" s="67">
        <v>97.08137136997507</v>
      </c>
      <c r="E265" s="69"/>
      <c r="F265" s="98" t="str">
        <f>HYPERLINK("https://i.ytimg.com/vi/o_FwqdP5ZTc/default.jpg")</f>
        <v>https://i.ytimg.com/vi/o_FwqdP5ZTc/default.jpg</v>
      </c>
      <c r="G265" s="66"/>
      <c r="H265" s="70" t="s">
        <v>767</v>
      </c>
      <c r="I265" s="71"/>
      <c r="J265" s="71" t="s">
        <v>159</v>
      </c>
      <c r="K265" s="70" t="s">
        <v>767</v>
      </c>
      <c r="L265" s="74">
        <v>909.9090909090909</v>
      </c>
      <c r="M265" s="75">
        <v>8082.908203125</v>
      </c>
      <c r="N265" s="75">
        <v>5896.71533203125</v>
      </c>
      <c r="O265" s="76"/>
      <c r="P265" s="77"/>
      <c r="Q265" s="77"/>
      <c r="R265" s="91"/>
      <c r="S265" s="48">
        <v>1</v>
      </c>
      <c r="T265" s="48">
        <v>0</v>
      </c>
      <c r="U265" s="49">
        <v>0</v>
      </c>
      <c r="V265" s="49">
        <v>0.000607</v>
      </c>
      <c r="W265" s="49">
        <v>2E-05</v>
      </c>
      <c r="X265" s="49">
        <v>0.544611</v>
      </c>
      <c r="Y265" s="49">
        <v>0</v>
      </c>
      <c r="Z265" s="49">
        <v>0</v>
      </c>
      <c r="AA265" s="72">
        <v>265</v>
      </c>
      <c r="AB265" s="72"/>
      <c r="AC265" s="73"/>
      <c r="AD265" s="88" t="s">
        <v>767</v>
      </c>
      <c r="AE265" s="88" t="s">
        <v>1042</v>
      </c>
      <c r="AF265" s="88" t="s">
        <v>1294</v>
      </c>
      <c r="AG265" s="88" t="s">
        <v>1419</v>
      </c>
      <c r="AH265" s="88" t="s">
        <v>1686</v>
      </c>
      <c r="AI265" s="88">
        <v>157680</v>
      </c>
      <c r="AJ265" s="88">
        <v>341</v>
      </c>
      <c r="AK265" s="88">
        <v>12613</v>
      </c>
      <c r="AL265" s="88">
        <v>308</v>
      </c>
      <c r="AM265" s="88" t="s">
        <v>1705</v>
      </c>
      <c r="AN265" s="100" t="str">
        <f>HYPERLINK("https://www.youtube.com/watch?v=o_FwqdP5ZTc")</f>
        <v>https://www.youtube.com/watch?v=o_FwqdP5ZTc</v>
      </c>
      <c r="AO265" s="88" t="str">
        <f>REPLACE(INDEX(GroupVertices[Group],MATCH(Vertices[[#This Row],[Vertex]],GroupVertices[Vertex],0)),1,1,"")</f>
        <v>6</v>
      </c>
      <c r="AP265" s="48">
        <v>0</v>
      </c>
      <c r="AQ265" s="49">
        <v>0</v>
      </c>
      <c r="AR265" s="48">
        <v>0</v>
      </c>
      <c r="AS265" s="49">
        <v>0</v>
      </c>
      <c r="AT265" s="48">
        <v>0</v>
      </c>
      <c r="AU265" s="49">
        <v>0</v>
      </c>
      <c r="AV265" s="48">
        <v>23</v>
      </c>
      <c r="AW265" s="49">
        <v>100</v>
      </c>
      <c r="AX265" s="48">
        <v>23</v>
      </c>
      <c r="AY265" s="48"/>
      <c r="AZ265" s="48"/>
      <c r="BA265" s="48"/>
      <c r="BB265" s="48"/>
      <c r="BC265" s="2"/>
      <c r="BD265" s="3"/>
      <c r="BE265" s="3"/>
      <c r="BF265" s="3"/>
      <c r="BG265" s="3"/>
    </row>
    <row r="266" spans="1:59" ht="15">
      <c r="A266" s="65" t="s">
        <v>476</v>
      </c>
      <c r="B266" s="66"/>
      <c r="C266" s="66"/>
      <c r="D266" s="67">
        <v>89.42425721858</v>
      </c>
      <c r="E266" s="69"/>
      <c r="F266" s="98" t="str">
        <f>HYPERLINK("https://i.ytimg.com/vi/BJDMFH33yyI/default.jpg")</f>
        <v>https://i.ytimg.com/vi/BJDMFH33yyI/default.jpg</v>
      </c>
      <c r="G266" s="66"/>
      <c r="H266" s="70" t="s">
        <v>768</v>
      </c>
      <c r="I266" s="71"/>
      <c r="J266" s="71" t="s">
        <v>159</v>
      </c>
      <c r="K266" s="70" t="s">
        <v>768</v>
      </c>
      <c r="L266" s="74">
        <v>909.9090909090909</v>
      </c>
      <c r="M266" s="75">
        <v>8040.94970703125</v>
      </c>
      <c r="N266" s="75">
        <v>3964.10009765625</v>
      </c>
      <c r="O266" s="76"/>
      <c r="P266" s="77"/>
      <c r="Q266" s="77"/>
      <c r="R266" s="91"/>
      <c r="S266" s="48">
        <v>1</v>
      </c>
      <c r="T266" s="48">
        <v>0</v>
      </c>
      <c r="U266" s="49">
        <v>0</v>
      </c>
      <c r="V266" s="49">
        <v>0.000607</v>
      </c>
      <c r="W266" s="49">
        <v>2E-05</v>
      </c>
      <c r="X266" s="49">
        <v>0.544611</v>
      </c>
      <c r="Y266" s="49">
        <v>0</v>
      </c>
      <c r="Z266" s="49">
        <v>0</v>
      </c>
      <c r="AA266" s="72">
        <v>266</v>
      </c>
      <c r="AB266" s="72"/>
      <c r="AC266" s="73"/>
      <c r="AD266" s="88" t="s">
        <v>768</v>
      </c>
      <c r="AE266" s="88" t="s">
        <v>1043</v>
      </c>
      <c r="AF266" s="88" t="s">
        <v>1295</v>
      </c>
      <c r="AG266" s="88" t="s">
        <v>1419</v>
      </c>
      <c r="AH266" s="88" t="s">
        <v>1687</v>
      </c>
      <c r="AI266" s="88">
        <v>87034</v>
      </c>
      <c r="AJ266" s="88">
        <v>474</v>
      </c>
      <c r="AK266" s="88">
        <v>8425</v>
      </c>
      <c r="AL266" s="88">
        <v>182</v>
      </c>
      <c r="AM266" s="88" t="s">
        <v>1705</v>
      </c>
      <c r="AN266" s="100" t="str">
        <f>HYPERLINK("https://www.youtube.com/watch?v=BJDMFH33yyI")</f>
        <v>https://www.youtube.com/watch?v=BJDMFH33yyI</v>
      </c>
      <c r="AO266" s="88" t="str">
        <f>REPLACE(INDEX(GroupVertices[Group],MATCH(Vertices[[#This Row],[Vertex]],GroupVertices[Vertex],0)),1,1,"")</f>
        <v>6</v>
      </c>
      <c r="AP266" s="48">
        <v>0</v>
      </c>
      <c r="AQ266" s="49">
        <v>0</v>
      </c>
      <c r="AR266" s="48">
        <v>2</v>
      </c>
      <c r="AS266" s="49">
        <v>6.25</v>
      </c>
      <c r="AT266" s="48">
        <v>0</v>
      </c>
      <c r="AU266" s="49">
        <v>0</v>
      </c>
      <c r="AV266" s="48">
        <v>30</v>
      </c>
      <c r="AW266" s="49">
        <v>93.75</v>
      </c>
      <c r="AX266" s="48">
        <v>32</v>
      </c>
      <c r="AY266" s="48"/>
      <c r="AZ266" s="48"/>
      <c r="BA266" s="48"/>
      <c r="BB266" s="48"/>
      <c r="BC266" s="2"/>
      <c r="BD266" s="3"/>
      <c r="BE266" s="3"/>
      <c r="BF266" s="3"/>
      <c r="BG266" s="3"/>
    </row>
    <row r="267" spans="1:59" ht="15">
      <c r="A267" s="65" t="s">
        <v>477</v>
      </c>
      <c r="B267" s="66"/>
      <c r="C267" s="66"/>
      <c r="D267" s="67">
        <v>114.25595563480903</v>
      </c>
      <c r="E267" s="69"/>
      <c r="F267" s="98" t="str">
        <f>HYPERLINK("https://i.ytimg.com/vi/kPBpn0mvFOI/default.jpg")</f>
        <v>https://i.ytimg.com/vi/kPBpn0mvFOI/default.jpg</v>
      </c>
      <c r="G267" s="66"/>
      <c r="H267" s="70" t="s">
        <v>769</v>
      </c>
      <c r="I267" s="71"/>
      <c r="J267" s="71" t="s">
        <v>159</v>
      </c>
      <c r="K267" s="70" t="s">
        <v>769</v>
      </c>
      <c r="L267" s="74">
        <v>909.9090909090909</v>
      </c>
      <c r="M267" s="75">
        <v>9813.263671875</v>
      </c>
      <c r="N267" s="75">
        <v>5594.40283203125</v>
      </c>
      <c r="O267" s="76"/>
      <c r="P267" s="77"/>
      <c r="Q267" s="77"/>
      <c r="R267" s="91"/>
      <c r="S267" s="48">
        <v>1</v>
      </c>
      <c r="T267" s="48">
        <v>0</v>
      </c>
      <c r="U267" s="49">
        <v>0</v>
      </c>
      <c r="V267" s="49">
        <v>0.000607</v>
      </c>
      <c r="W267" s="49">
        <v>2E-05</v>
      </c>
      <c r="X267" s="49">
        <v>0.544611</v>
      </c>
      <c r="Y267" s="49">
        <v>0</v>
      </c>
      <c r="Z267" s="49">
        <v>0</v>
      </c>
      <c r="AA267" s="72">
        <v>267</v>
      </c>
      <c r="AB267" s="72"/>
      <c r="AC267" s="73"/>
      <c r="AD267" s="88" t="s">
        <v>769</v>
      </c>
      <c r="AE267" s="88" t="s">
        <v>1044</v>
      </c>
      <c r="AF267" s="88"/>
      <c r="AG267" s="88" t="s">
        <v>1419</v>
      </c>
      <c r="AH267" s="88" t="s">
        <v>1688</v>
      </c>
      <c r="AI267" s="88">
        <v>316136</v>
      </c>
      <c r="AJ267" s="88">
        <v>354</v>
      </c>
      <c r="AK267" s="88">
        <v>14808</v>
      </c>
      <c r="AL267" s="88">
        <v>808</v>
      </c>
      <c r="AM267" s="88" t="s">
        <v>1705</v>
      </c>
      <c r="AN267" s="100" t="str">
        <f>HYPERLINK("https://www.youtube.com/watch?v=kPBpn0mvFOI")</f>
        <v>https://www.youtube.com/watch?v=kPBpn0mvFOI</v>
      </c>
      <c r="AO267" s="88" t="str">
        <f>REPLACE(INDEX(GroupVertices[Group],MATCH(Vertices[[#This Row],[Vertex]],GroupVertices[Vertex],0)),1,1,"")</f>
        <v>6</v>
      </c>
      <c r="AP267" s="48"/>
      <c r="AQ267" s="49"/>
      <c r="AR267" s="48"/>
      <c r="AS267" s="49"/>
      <c r="AT267" s="48"/>
      <c r="AU267" s="49"/>
      <c r="AV267" s="48"/>
      <c r="AW267" s="49"/>
      <c r="AX267" s="48"/>
      <c r="AY267" s="48"/>
      <c r="AZ267" s="48"/>
      <c r="BA267" s="48"/>
      <c r="BB267" s="48"/>
      <c r="BC267" s="2"/>
      <c r="BD267" s="3"/>
      <c r="BE267" s="3"/>
      <c r="BF267" s="3"/>
      <c r="BG267" s="3"/>
    </row>
    <row r="268" spans="1:59" ht="15">
      <c r="A268" s="65" t="s">
        <v>478</v>
      </c>
      <c r="B268" s="66"/>
      <c r="C268" s="66"/>
      <c r="D268" s="67">
        <v>136.74291619698928</v>
      </c>
      <c r="E268" s="69"/>
      <c r="F268" s="98" t="str">
        <f>HYPERLINK("https://i.ytimg.com/vi/sjfRyfARJMM/default.jpg")</f>
        <v>https://i.ytimg.com/vi/sjfRyfARJMM/default.jpg</v>
      </c>
      <c r="G268" s="66"/>
      <c r="H268" s="70" t="s">
        <v>770</v>
      </c>
      <c r="I268" s="71"/>
      <c r="J268" s="71" t="s">
        <v>159</v>
      </c>
      <c r="K268" s="70" t="s">
        <v>770</v>
      </c>
      <c r="L268" s="74">
        <v>909.9090909090909</v>
      </c>
      <c r="M268" s="75">
        <v>9614.7841796875</v>
      </c>
      <c r="N268" s="75">
        <v>3720.01806640625</v>
      </c>
      <c r="O268" s="76"/>
      <c r="P268" s="77"/>
      <c r="Q268" s="77"/>
      <c r="R268" s="91"/>
      <c r="S268" s="48">
        <v>1</v>
      </c>
      <c r="T268" s="48">
        <v>0</v>
      </c>
      <c r="U268" s="49">
        <v>0</v>
      </c>
      <c r="V268" s="49">
        <v>0.000607</v>
      </c>
      <c r="W268" s="49">
        <v>2E-05</v>
      </c>
      <c r="X268" s="49">
        <v>0.544611</v>
      </c>
      <c r="Y268" s="49">
        <v>0</v>
      </c>
      <c r="Z268" s="49">
        <v>0</v>
      </c>
      <c r="AA268" s="72">
        <v>268</v>
      </c>
      <c r="AB268" s="72"/>
      <c r="AC268" s="73"/>
      <c r="AD268" s="88" t="s">
        <v>770</v>
      </c>
      <c r="AE268" s="88" t="s">
        <v>1045</v>
      </c>
      <c r="AF268" s="88" t="s">
        <v>1293</v>
      </c>
      <c r="AG268" s="88" t="s">
        <v>1419</v>
      </c>
      <c r="AH268" s="88" t="s">
        <v>1689</v>
      </c>
      <c r="AI268" s="88">
        <v>523605</v>
      </c>
      <c r="AJ268" s="88">
        <v>737</v>
      </c>
      <c r="AK268" s="88">
        <v>20387</v>
      </c>
      <c r="AL268" s="88">
        <v>627</v>
      </c>
      <c r="AM268" s="88" t="s">
        <v>1705</v>
      </c>
      <c r="AN268" s="100" t="str">
        <f>HYPERLINK("https://www.youtube.com/watch?v=sjfRyfARJMM")</f>
        <v>https://www.youtube.com/watch?v=sjfRyfARJMM</v>
      </c>
      <c r="AO268" s="88" t="str">
        <f>REPLACE(INDEX(GroupVertices[Group],MATCH(Vertices[[#This Row],[Vertex]],GroupVertices[Vertex],0)),1,1,"")</f>
        <v>6</v>
      </c>
      <c r="AP268" s="48">
        <v>0</v>
      </c>
      <c r="AQ268" s="49">
        <v>0</v>
      </c>
      <c r="AR268" s="48">
        <v>0</v>
      </c>
      <c r="AS268" s="49">
        <v>0</v>
      </c>
      <c r="AT268" s="48">
        <v>0</v>
      </c>
      <c r="AU268" s="49">
        <v>0</v>
      </c>
      <c r="AV268" s="48">
        <v>36</v>
      </c>
      <c r="AW268" s="49">
        <v>100</v>
      </c>
      <c r="AX268" s="48">
        <v>36</v>
      </c>
      <c r="AY268" s="48"/>
      <c r="AZ268" s="48"/>
      <c r="BA268" s="48"/>
      <c r="BB268" s="48"/>
      <c r="BC268" s="2"/>
      <c r="BD268" s="3"/>
      <c r="BE268" s="3"/>
      <c r="BF268" s="3"/>
      <c r="BG268" s="3"/>
    </row>
    <row r="269" spans="1:59" ht="15">
      <c r="A269" s="65" t="s">
        <v>479</v>
      </c>
      <c r="B269" s="66"/>
      <c r="C269" s="66"/>
      <c r="D269" s="67">
        <v>83.35208744104685</v>
      </c>
      <c r="E269" s="69"/>
      <c r="F269" s="98" t="str">
        <f>HYPERLINK("https://i.ytimg.com/vi/yjnpK7bTq5k/default.jpg")</f>
        <v>https://i.ytimg.com/vi/yjnpK7bTq5k/default.jpg</v>
      </c>
      <c r="G269" s="66"/>
      <c r="H269" s="70" t="s">
        <v>771</v>
      </c>
      <c r="I269" s="71"/>
      <c r="J269" s="71" t="s">
        <v>159</v>
      </c>
      <c r="K269" s="70" t="s">
        <v>771</v>
      </c>
      <c r="L269" s="74">
        <v>909.9090909090909</v>
      </c>
      <c r="M269" s="75">
        <v>9892.853515625</v>
      </c>
      <c r="N269" s="75">
        <v>4913.10400390625</v>
      </c>
      <c r="O269" s="76"/>
      <c r="P269" s="77"/>
      <c r="Q269" s="77"/>
      <c r="R269" s="91"/>
      <c r="S269" s="48">
        <v>1</v>
      </c>
      <c r="T269" s="48">
        <v>0</v>
      </c>
      <c r="U269" s="49">
        <v>0</v>
      </c>
      <c r="V269" s="49">
        <v>0.000607</v>
      </c>
      <c r="W269" s="49">
        <v>2E-05</v>
      </c>
      <c r="X269" s="49">
        <v>0.544611</v>
      </c>
      <c r="Y269" s="49">
        <v>0</v>
      </c>
      <c r="Z269" s="49">
        <v>0</v>
      </c>
      <c r="AA269" s="72">
        <v>269</v>
      </c>
      <c r="AB269" s="72"/>
      <c r="AC269" s="73"/>
      <c r="AD269" s="88" t="s">
        <v>771</v>
      </c>
      <c r="AE269" s="88" t="s">
        <v>1046</v>
      </c>
      <c r="AF269" s="88" t="s">
        <v>1293</v>
      </c>
      <c r="AG269" s="88" t="s">
        <v>1419</v>
      </c>
      <c r="AH269" s="88" t="s">
        <v>1690</v>
      </c>
      <c r="AI269" s="88">
        <v>31011</v>
      </c>
      <c r="AJ269" s="88">
        <v>82</v>
      </c>
      <c r="AK269" s="88">
        <v>2178</v>
      </c>
      <c r="AL269" s="88">
        <v>42</v>
      </c>
      <c r="AM269" s="88" t="s">
        <v>1705</v>
      </c>
      <c r="AN269" s="100" t="str">
        <f>HYPERLINK("https://www.youtube.com/watch?v=yjnpK7bTq5k")</f>
        <v>https://www.youtube.com/watch?v=yjnpK7bTq5k</v>
      </c>
      <c r="AO269" s="88" t="str">
        <f>REPLACE(INDEX(GroupVertices[Group],MATCH(Vertices[[#This Row],[Vertex]],GroupVertices[Vertex],0)),1,1,"")</f>
        <v>6</v>
      </c>
      <c r="AP269" s="48">
        <v>0</v>
      </c>
      <c r="AQ269" s="49">
        <v>0</v>
      </c>
      <c r="AR269" s="48">
        <v>0</v>
      </c>
      <c r="AS269" s="49">
        <v>0</v>
      </c>
      <c r="AT269" s="48">
        <v>0</v>
      </c>
      <c r="AU269" s="49">
        <v>0</v>
      </c>
      <c r="AV269" s="48">
        <v>36</v>
      </c>
      <c r="AW269" s="49">
        <v>100</v>
      </c>
      <c r="AX269" s="48">
        <v>36</v>
      </c>
      <c r="AY269" s="48"/>
      <c r="AZ269" s="48"/>
      <c r="BA269" s="48"/>
      <c r="BB269" s="48"/>
      <c r="BC269" s="2"/>
      <c r="BD269" s="3"/>
      <c r="BE269" s="3"/>
      <c r="BF269" s="3"/>
      <c r="BG269" s="3"/>
    </row>
    <row r="270" spans="1:59" ht="15">
      <c r="A270" s="65" t="s">
        <v>480</v>
      </c>
      <c r="B270" s="66"/>
      <c r="C270" s="66"/>
      <c r="D270" s="67">
        <v>94.43239096259043</v>
      </c>
      <c r="E270" s="69"/>
      <c r="F270" s="98" t="str">
        <f>HYPERLINK("https://i.ytimg.com/vi/t_G2XmK9Oq0/default.jpg")</f>
        <v>https://i.ytimg.com/vi/t_G2XmK9Oq0/default.jpg</v>
      </c>
      <c r="G270" s="66"/>
      <c r="H270" s="70" t="s">
        <v>772</v>
      </c>
      <c r="I270" s="71"/>
      <c r="J270" s="71" t="s">
        <v>159</v>
      </c>
      <c r="K270" s="70" t="s">
        <v>772</v>
      </c>
      <c r="L270" s="74">
        <v>909.9090909090909</v>
      </c>
      <c r="M270" s="75">
        <v>9219.373046875</v>
      </c>
      <c r="N270" s="75">
        <v>3333.541259765625</v>
      </c>
      <c r="O270" s="76"/>
      <c r="P270" s="77"/>
      <c r="Q270" s="77"/>
      <c r="R270" s="91"/>
      <c r="S270" s="48">
        <v>1</v>
      </c>
      <c r="T270" s="48">
        <v>0</v>
      </c>
      <c r="U270" s="49">
        <v>0</v>
      </c>
      <c r="V270" s="49">
        <v>0.000607</v>
      </c>
      <c r="W270" s="49">
        <v>2E-05</v>
      </c>
      <c r="X270" s="49">
        <v>0.544611</v>
      </c>
      <c r="Y270" s="49">
        <v>0</v>
      </c>
      <c r="Z270" s="49">
        <v>0</v>
      </c>
      <c r="AA270" s="72">
        <v>270</v>
      </c>
      <c r="AB270" s="72"/>
      <c r="AC270" s="73"/>
      <c r="AD270" s="88" t="s">
        <v>772</v>
      </c>
      <c r="AE270" s="88" t="s">
        <v>1047</v>
      </c>
      <c r="AF270" s="88" t="s">
        <v>1296</v>
      </c>
      <c r="AG270" s="88" t="s">
        <v>1420</v>
      </c>
      <c r="AH270" s="88" t="s">
        <v>1691</v>
      </c>
      <c r="AI270" s="88">
        <v>133240</v>
      </c>
      <c r="AJ270" s="88">
        <v>1892</v>
      </c>
      <c r="AK270" s="88">
        <v>14447</v>
      </c>
      <c r="AL270" s="88">
        <v>426</v>
      </c>
      <c r="AM270" s="88" t="s">
        <v>1705</v>
      </c>
      <c r="AN270" s="100" t="str">
        <f>HYPERLINK("https://www.youtube.com/watch?v=t_G2XmK9Oq0")</f>
        <v>https://www.youtube.com/watch?v=t_G2XmK9Oq0</v>
      </c>
      <c r="AO270" s="88" t="str">
        <f>REPLACE(INDEX(GroupVertices[Group],MATCH(Vertices[[#This Row],[Vertex]],GroupVertices[Vertex],0)),1,1,"")</f>
        <v>6</v>
      </c>
      <c r="AP270" s="48">
        <v>0</v>
      </c>
      <c r="AQ270" s="49">
        <v>0</v>
      </c>
      <c r="AR270" s="48">
        <v>0</v>
      </c>
      <c r="AS270" s="49">
        <v>0</v>
      </c>
      <c r="AT270" s="48">
        <v>0</v>
      </c>
      <c r="AU270" s="49">
        <v>0</v>
      </c>
      <c r="AV270" s="48">
        <v>32</v>
      </c>
      <c r="AW270" s="49">
        <v>100</v>
      </c>
      <c r="AX270" s="48">
        <v>32</v>
      </c>
      <c r="AY270" s="48"/>
      <c r="AZ270" s="48"/>
      <c r="BA270" s="48"/>
      <c r="BB270" s="48"/>
      <c r="BC270" s="2"/>
      <c r="BD270" s="3"/>
      <c r="BE270" s="3"/>
      <c r="BF270" s="3"/>
      <c r="BG270" s="3"/>
    </row>
    <row r="271" spans="1:59" ht="15">
      <c r="A271" s="65" t="s">
        <v>481</v>
      </c>
      <c r="B271" s="66"/>
      <c r="C271" s="66"/>
      <c r="D271" s="67">
        <v>84.29017767942304</v>
      </c>
      <c r="E271" s="69"/>
      <c r="F271" s="98" t="str">
        <f>HYPERLINK("https://i.ytimg.com/vi/P2O8sM7BvwQ/default.jpg")</f>
        <v>https://i.ytimg.com/vi/P2O8sM7BvwQ/default.jpg</v>
      </c>
      <c r="G271" s="66"/>
      <c r="H271" s="70" t="s">
        <v>773</v>
      </c>
      <c r="I271" s="71"/>
      <c r="J271" s="71" t="s">
        <v>159</v>
      </c>
      <c r="K271" s="70" t="s">
        <v>773</v>
      </c>
      <c r="L271" s="74">
        <v>909.9090909090909</v>
      </c>
      <c r="M271" s="75">
        <v>9215.435546875</v>
      </c>
      <c r="N271" s="75">
        <v>4121.4716796875</v>
      </c>
      <c r="O271" s="76"/>
      <c r="P271" s="77"/>
      <c r="Q271" s="77"/>
      <c r="R271" s="91"/>
      <c r="S271" s="48">
        <v>1</v>
      </c>
      <c r="T271" s="48">
        <v>0</v>
      </c>
      <c r="U271" s="49">
        <v>0</v>
      </c>
      <c r="V271" s="49">
        <v>0.000607</v>
      </c>
      <c r="W271" s="49">
        <v>2E-05</v>
      </c>
      <c r="X271" s="49">
        <v>0.544611</v>
      </c>
      <c r="Y271" s="49">
        <v>0</v>
      </c>
      <c r="Z271" s="49">
        <v>0</v>
      </c>
      <c r="AA271" s="72">
        <v>271</v>
      </c>
      <c r="AB271" s="72"/>
      <c r="AC271" s="73"/>
      <c r="AD271" s="88" t="s">
        <v>773</v>
      </c>
      <c r="AE271" s="88" t="s">
        <v>1048</v>
      </c>
      <c r="AF271" s="88" t="s">
        <v>1297</v>
      </c>
      <c r="AG271" s="88" t="s">
        <v>1419</v>
      </c>
      <c r="AH271" s="88" t="s">
        <v>1692</v>
      </c>
      <c r="AI271" s="88">
        <v>39666</v>
      </c>
      <c r="AJ271" s="88">
        <v>154</v>
      </c>
      <c r="AK271" s="88">
        <v>3519</v>
      </c>
      <c r="AL271" s="88">
        <v>72</v>
      </c>
      <c r="AM271" s="88" t="s">
        <v>1705</v>
      </c>
      <c r="AN271" s="100" t="str">
        <f>HYPERLINK("https://www.youtube.com/watch?v=P2O8sM7BvwQ")</f>
        <v>https://www.youtube.com/watch?v=P2O8sM7BvwQ</v>
      </c>
      <c r="AO271" s="88" t="str">
        <f>REPLACE(INDEX(GroupVertices[Group],MATCH(Vertices[[#This Row],[Vertex]],GroupVertices[Vertex],0)),1,1,"")</f>
        <v>6</v>
      </c>
      <c r="AP271" s="48">
        <v>0</v>
      </c>
      <c r="AQ271" s="49">
        <v>0</v>
      </c>
      <c r="AR271" s="48">
        <v>0</v>
      </c>
      <c r="AS271" s="49">
        <v>0</v>
      </c>
      <c r="AT271" s="48">
        <v>0</v>
      </c>
      <c r="AU271" s="49">
        <v>0</v>
      </c>
      <c r="AV271" s="48">
        <v>51</v>
      </c>
      <c r="AW271" s="49">
        <v>100</v>
      </c>
      <c r="AX271" s="48">
        <v>51</v>
      </c>
      <c r="AY271" s="48"/>
      <c r="AZ271" s="48"/>
      <c r="BA271" s="48"/>
      <c r="BB271" s="48"/>
      <c r="BC271" s="2"/>
      <c r="BD271" s="3"/>
      <c r="BE271" s="3"/>
      <c r="BF271" s="3"/>
      <c r="BG271" s="3"/>
    </row>
    <row r="272" spans="1:59" ht="15">
      <c r="A272" s="65" t="s">
        <v>482</v>
      </c>
      <c r="B272" s="66"/>
      <c r="C272" s="66"/>
      <c r="D272" s="67">
        <v>235.01152673108317</v>
      </c>
      <c r="E272" s="69"/>
      <c r="F272" s="98" t="str">
        <f>HYPERLINK("https://i.ytimg.com/vi/6FQtDyNEeNg/default.jpg")</f>
        <v>https://i.ytimg.com/vi/6FQtDyNEeNg/default.jpg</v>
      </c>
      <c r="G272" s="66"/>
      <c r="H272" s="70" t="s">
        <v>774</v>
      </c>
      <c r="I272" s="71"/>
      <c r="J272" s="71" t="s">
        <v>159</v>
      </c>
      <c r="K272" s="70" t="s">
        <v>774</v>
      </c>
      <c r="L272" s="74">
        <v>909.9090909090909</v>
      </c>
      <c r="M272" s="75">
        <v>8358.0087890625</v>
      </c>
      <c r="N272" s="75">
        <v>3431.0302734375</v>
      </c>
      <c r="O272" s="76"/>
      <c r="P272" s="77"/>
      <c r="Q272" s="77"/>
      <c r="R272" s="91"/>
      <c r="S272" s="48">
        <v>1</v>
      </c>
      <c r="T272" s="48">
        <v>0</v>
      </c>
      <c r="U272" s="49">
        <v>0</v>
      </c>
      <c r="V272" s="49">
        <v>0.000607</v>
      </c>
      <c r="W272" s="49">
        <v>2E-05</v>
      </c>
      <c r="X272" s="49">
        <v>0.544611</v>
      </c>
      <c r="Y272" s="49">
        <v>0</v>
      </c>
      <c r="Z272" s="49">
        <v>0</v>
      </c>
      <c r="AA272" s="72">
        <v>272</v>
      </c>
      <c r="AB272" s="72"/>
      <c r="AC272" s="73"/>
      <c r="AD272" s="88" t="s">
        <v>774</v>
      </c>
      <c r="AE272" s="88"/>
      <c r="AF272" s="88" t="s">
        <v>1298</v>
      </c>
      <c r="AG272" s="88" t="s">
        <v>1419</v>
      </c>
      <c r="AH272" s="88" t="s">
        <v>1693</v>
      </c>
      <c r="AI272" s="88">
        <v>1430250</v>
      </c>
      <c r="AJ272" s="88">
        <v>1634</v>
      </c>
      <c r="AK272" s="88">
        <v>53674</v>
      </c>
      <c r="AL272" s="88">
        <v>2540</v>
      </c>
      <c r="AM272" s="88" t="s">
        <v>1705</v>
      </c>
      <c r="AN272" s="100" t="str">
        <f>HYPERLINK("https://www.youtube.com/watch?v=6FQtDyNEeNg")</f>
        <v>https://www.youtube.com/watch?v=6FQtDyNEeNg</v>
      </c>
      <c r="AO272" s="88" t="str">
        <f>REPLACE(INDEX(GroupVertices[Group],MATCH(Vertices[[#This Row],[Vertex]],GroupVertices[Vertex],0)),1,1,"")</f>
        <v>6</v>
      </c>
      <c r="AP272" s="48">
        <v>0</v>
      </c>
      <c r="AQ272" s="49">
        <v>0</v>
      </c>
      <c r="AR272" s="48">
        <v>0</v>
      </c>
      <c r="AS272" s="49">
        <v>0</v>
      </c>
      <c r="AT272" s="48">
        <v>0</v>
      </c>
      <c r="AU272" s="49">
        <v>0</v>
      </c>
      <c r="AV272" s="48">
        <v>21</v>
      </c>
      <c r="AW272" s="49">
        <v>100</v>
      </c>
      <c r="AX272" s="48">
        <v>21</v>
      </c>
      <c r="AY272" s="48"/>
      <c r="AZ272" s="48"/>
      <c r="BA272" s="48"/>
      <c r="BB272" s="48"/>
      <c r="BC272" s="2"/>
      <c r="BD272" s="3"/>
      <c r="BE272" s="3"/>
      <c r="BF272" s="3"/>
      <c r="BG272" s="3"/>
    </row>
    <row r="273" spans="1:59" ht="15">
      <c r="A273" s="65" t="s">
        <v>483</v>
      </c>
      <c r="B273" s="66"/>
      <c r="C273" s="66"/>
      <c r="D273" s="67">
        <v>134.57712542365215</v>
      </c>
      <c r="E273" s="69"/>
      <c r="F273" s="98" t="str">
        <f>HYPERLINK("https://i.ytimg.com/vi/ZfyI5qL_A0c/default.jpg")</f>
        <v>https://i.ytimg.com/vi/ZfyI5qL_A0c/default.jpg</v>
      </c>
      <c r="G273" s="66"/>
      <c r="H273" s="70" t="s">
        <v>775</v>
      </c>
      <c r="I273" s="71"/>
      <c r="J273" s="71" t="s">
        <v>159</v>
      </c>
      <c r="K273" s="70" t="s">
        <v>775</v>
      </c>
      <c r="L273" s="74">
        <v>909.9090909090909</v>
      </c>
      <c r="M273" s="75">
        <v>8760.275390625</v>
      </c>
      <c r="N273" s="75">
        <v>5816.263671875</v>
      </c>
      <c r="O273" s="76"/>
      <c r="P273" s="77"/>
      <c r="Q273" s="77"/>
      <c r="R273" s="91"/>
      <c r="S273" s="48">
        <v>1</v>
      </c>
      <c r="T273" s="48">
        <v>0</v>
      </c>
      <c r="U273" s="49">
        <v>0</v>
      </c>
      <c r="V273" s="49">
        <v>0.000607</v>
      </c>
      <c r="W273" s="49">
        <v>2E-05</v>
      </c>
      <c r="X273" s="49">
        <v>0.544611</v>
      </c>
      <c r="Y273" s="49">
        <v>0</v>
      </c>
      <c r="Z273" s="49">
        <v>0</v>
      </c>
      <c r="AA273" s="72">
        <v>273</v>
      </c>
      <c r="AB273" s="72"/>
      <c r="AC273" s="73"/>
      <c r="AD273" s="88" t="s">
        <v>775</v>
      </c>
      <c r="AE273" s="88" t="s">
        <v>1049</v>
      </c>
      <c r="AF273" s="88" t="s">
        <v>1293</v>
      </c>
      <c r="AG273" s="88" t="s">
        <v>1419</v>
      </c>
      <c r="AH273" s="88" t="s">
        <v>1694</v>
      </c>
      <c r="AI273" s="88">
        <v>503623</v>
      </c>
      <c r="AJ273" s="88">
        <v>1541</v>
      </c>
      <c r="AK273" s="88">
        <v>30279</v>
      </c>
      <c r="AL273" s="88">
        <v>599</v>
      </c>
      <c r="AM273" s="88" t="s">
        <v>1705</v>
      </c>
      <c r="AN273" s="100" t="str">
        <f>HYPERLINK("https://www.youtube.com/watch?v=ZfyI5qL_A0c")</f>
        <v>https://www.youtube.com/watch?v=ZfyI5qL_A0c</v>
      </c>
      <c r="AO273" s="88" t="str">
        <f>REPLACE(INDEX(GroupVertices[Group],MATCH(Vertices[[#This Row],[Vertex]],GroupVertices[Vertex],0)),1,1,"")</f>
        <v>6</v>
      </c>
      <c r="AP273" s="48">
        <v>0</v>
      </c>
      <c r="AQ273" s="49">
        <v>0</v>
      </c>
      <c r="AR273" s="48">
        <v>0</v>
      </c>
      <c r="AS273" s="49">
        <v>0</v>
      </c>
      <c r="AT273" s="48">
        <v>0</v>
      </c>
      <c r="AU273" s="49">
        <v>0</v>
      </c>
      <c r="AV273" s="48">
        <v>36</v>
      </c>
      <c r="AW273" s="49">
        <v>100</v>
      </c>
      <c r="AX273" s="48">
        <v>36</v>
      </c>
      <c r="AY273" s="48"/>
      <c r="AZ273" s="48"/>
      <c r="BA273" s="48"/>
      <c r="BB273" s="48"/>
      <c r="BC273" s="2"/>
      <c r="BD273" s="3"/>
      <c r="BE273" s="3"/>
      <c r="BF273" s="3"/>
      <c r="BG273" s="3"/>
    </row>
    <row r="274" spans="1:59" ht="15">
      <c r="A274" s="65" t="s">
        <v>484</v>
      </c>
      <c r="B274" s="66"/>
      <c r="C274" s="66"/>
      <c r="D274" s="67">
        <v>84.750497638104</v>
      </c>
      <c r="E274" s="69"/>
      <c r="F274" s="98" t="str">
        <f>HYPERLINK("https://i.ytimg.com/vi/lGh10aRPtbw/default.jpg")</f>
        <v>https://i.ytimg.com/vi/lGh10aRPtbw/default.jpg</v>
      </c>
      <c r="G274" s="66"/>
      <c r="H274" s="70" t="s">
        <v>776</v>
      </c>
      <c r="I274" s="71"/>
      <c r="J274" s="71" t="s">
        <v>159</v>
      </c>
      <c r="K274" s="70" t="s">
        <v>776</v>
      </c>
      <c r="L274" s="74">
        <v>909.9090909090909</v>
      </c>
      <c r="M274" s="75">
        <v>9210.2451171875</v>
      </c>
      <c r="N274" s="75">
        <v>6411.87646484375</v>
      </c>
      <c r="O274" s="76"/>
      <c r="P274" s="77"/>
      <c r="Q274" s="77"/>
      <c r="R274" s="91"/>
      <c r="S274" s="48">
        <v>1</v>
      </c>
      <c r="T274" s="48">
        <v>0</v>
      </c>
      <c r="U274" s="49">
        <v>0</v>
      </c>
      <c r="V274" s="49">
        <v>0.000607</v>
      </c>
      <c r="W274" s="49">
        <v>2E-05</v>
      </c>
      <c r="X274" s="49">
        <v>0.544611</v>
      </c>
      <c r="Y274" s="49">
        <v>0</v>
      </c>
      <c r="Z274" s="49">
        <v>0</v>
      </c>
      <c r="AA274" s="72">
        <v>274</v>
      </c>
      <c r="AB274" s="72"/>
      <c r="AC274" s="73"/>
      <c r="AD274" s="88" t="s">
        <v>776</v>
      </c>
      <c r="AE274" s="88" t="s">
        <v>1050</v>
      </c>
      <c r="AF274" s="88" t="s">
        <v>1299</v>
      </c>
      <c r="AG274" s="88" t="s">
        <v>1419</v>
      </c>
      <c r="AH274" s="88" t="s">
        <v>1695</v>
      </c>
      <c r="AI274" s="88">
        <v>43913</v>
      </c>
      <c r="AJ274" s="88">
        <v>126</v>
      </c>
      <c r="AK274" s="88">
        <v>3479</v>
      </c>
      <c r="AL274" s="88">
        <v>78</v>
      </c>
      <c r="AM274" s="88" t="s">
        <v>1705</v>
      </c>
      <c r="AN274" s="100" t="str">
        <f>HYPERLINK("https://www.youtube.com/watch?v=lGh10aRPtbw")</f>
        <v>https://www.youtube.com/watch?v=lGh10aRPtbw</v>
      </c>
      <c r="AO274" s="88" t="str">
        <f>REPLACE(INDEX(GroupVertices[Group],MATCH(Vertices[[#This Row],[Vertex]],GroupVertices[Vertex],0)),1,1,"")</f>
        <v>6</v>
      </c>
      <c r="AP274" s="48">
        <v>1</v>
      </c>
      <c r="AQ274" s="49">
        <v>3.4482758620689653</v>
      </c>
      <c r="AR274" s="48">
        <v>0</v>
      </c>
      <c r="AS274" s="49">
        <v>0</v>
      </c>
      <c r="AT274" s="48">
        <v>0</v>
      </c>
      <c r="AU274" s="49">
        <v>0</v>
      </c>
      <c r="AV274" s="48">
        <v>28</v>
      </c>
      <c r="AW274" s="49">
        <v>96.55172413793103</v>
      </c>
      <c r="AX274" s="48">
        <v>29</v>
      </c>
      <c r="AY274" s="48"/>
      <c r="AZ274" s="48"/>
      <c r="BA274" s="48"/>
      <c r="BB274" s="48"/>
      <c r="BC274" s="2"/>
      <c r="BD274" s="3"/>
      <c r="BE274" s="3"/>
      <c r="BF274" s="3"/>
      <c r="BG274" s="3"/>
    </row>
    <row r="275" spans="1:59" ht="15">
      <c r="A275" s="65" t="s">
        <v>485</v>
      </c>
      <c r="B275" s="66"/>
      <c r="C275" s="66"/>
      <c r="D275" s="67">
        <v>92.35038340753921</v>
      </c>
      <c r="E275" s="69"/>
      <c r="F275" s="98" t="str">
        <f>HYPERLINK("https://i.ytimg.com/vi/paU7PmJh7jE/default.jpg")</f>
        <v>https://i.ytimg.com/vi/paU7PmJh7jE/default.jpg</v>
      </c>
      <c r="G275" s="66"/>
      <c r="H275" s="70" t="s">
        <v>777</v>
      </c>
      <c r="I275" s="71"/>
      <c r="J275" s="71" t="s">
        <v>159</v>
      </c>
      <c r="K275" s="70" t="s">
        <v>777</v>
      </c>
      <c r="L275" s="74">
        <v>909.9090909090909</v>
      </c>
      <c r="M275" s="75">
        <v>8378.412109375</v>
      </c>
      <c r="N275" s="75">
        <v>6350.2978515625</v>
      </c>
      <c r="O275" s="76"/>
      <c r="P275" s="77"/>
      <c r="Q275" s="77"/>
      <c r="R275" s="91"/>
      <c r="S275" s="48">
        <v>1</v>
      </c>
      <c r="T275" s="48">
        <v>0</v>
      </c>
      <c r="U275" s="49">
        <v>0</v>
      </c>
      <c r="V275" s="49">
        <v>0.000607</v>
      </c>
      <c r="W275" s="49">
        <v>2E-05</v>
      </c>
      <c r="X275" s="49">
        <v>0.544611</v>
      </c>
      <c r="Y275" s="49">
        <v>0</v>
      </c>
      <c r="Z275" s="49">
        <v>0</v>
      </c>
      <c r="AA275" s="72">
        <v>275</v>
      </c>
      <c r="AB275" s="72"/>
      <c r="AC275" s="73"/>
      <c r="AD275" s="88" t="s">
        <v>777</v>
      </c>
      <c r="AE275" s="88" t="s">
        <v>1051</v>
      </c>
      <c r="AF275" s="88" t="s">
        <v>1293</v>
      </c>
      <c r="AG275" s="88" t="s">
        <v>1419</v>
      </c>
      <c r="AH275" s="88" t="s">
        <v>1696</v>
      </c>
      <c r="AI275" s="88">
        <v>114031</v>
      </c>
      <c r="AJ275" s="88">
        <v>430</v>
      </c>
      <c r="AK275" s="88">
        <v>9086</v>
      </c>
      <c r="AL275" s="88">
        <v>166</v>
      </c>
      <c r="AM275" s="88" t="s">
        <v>1705</v>
      </c>
      <c r="AN275" s="100" t="str">
        <f>HYPERLINK("https://www.youtube.com/watch?v=paU7PmJh7jE")</f>
        <v>https://www.youtube.com/watch?v=paU7PmJh7jE</v>
      </c>
      <c r="AO275" s="88" t="str">
        <f>REPLACE(INDEX(GroupVertices[Group],MATCH(Vertices[[#This Row],[Vertex]],GroupVertices[Vertex],0)),1,1,"")</f>
        <v>6</v>
      </c>
      <c r="AP275" s="48">
        <v>0</v>
      </c>
      <c r="AQ275" s="49">
        <v>0</v>
      </c>
      <c r="AR275" s="48">
        <v>0</v>
      </c>
      <c r="AS275" s="49">
        <v>0</v>
      </c>
      <c r="AT275" s="48">
        <v>0</v>
      </c>
      <c r="AU275" s="49">
        <v>0</v>
      </c>
      <c r="AV275" s="48">
        <v>36</v>
      </c>
      <c r="AW275" s="49">
        <v>100</v>
      </c>
      <c r="AX275" s="48">
        <v>36</v>
      </c>
      <c r="AY275" s="48"/>
      <c r="AZ275" s="48"/>
      <c r="BA275" s="48"/>
      <c r="BB275" s="48"/>
      <c r="BC275" s="2"/>
      <c r="BD275" s="3"/>
      <c r="BE275" s="3"/>
      <c r="BF275" s="3"/>
      <c r="BG275" s="3"/>
    </row>
    <row r="276" spans="1:59" ht="15">
      <c r="A276" s="65" t="s">
        <v>486</v>
      </c>
      <c r="B276" s="66"/>
      <c r="C276" s="66"/>
      <c r="D276" s="67">
        <v>83.34124873234234</v>
      </c>
      <c r="E276" s="69"/>
      <c r="F276" s="98" t="str">
        <f>HYPERLINK("https://i.ytimg.com/vi/PCvnMkVm0sQ/default.jpg")</f>
        <v>https://i.ytimg.com/vi/PCvnMkVm0sQ/default.jpg</v>
      </c>
      <c r="G276" s="66"/>
      <c r="H276" s="70" t="s">
        <v>778</v>
      </c>
      <c r="I276" s="71"/>
      <c r="J276" s="71" t="s">
        <v>159</v>
      </c>
      <c r="K276" s="70" t="s">
        <v>778</v>
      </c>
      <c r="L276" s="74">
        <v>909.9090909090909</v>
      </c>
      <c r="M276" s="75">
        <v>9545.990234375</v>
      </c>
      <c r="N276" s="75">
        <v>6124.19091796875</v>
      </c>
      <c r="O276" s="76"/>
      <c r="P276" s="77"/>
      <c r="Q276" s="77"/>
      <c r="R276" s="91"/>
      <c r="S276" s="48">
        <v>1</v>
      </c>
      <c r="T276" s="48">
        <v>0</v>
      </c>
      <c r="U276" s="49">
        <v>0</v>
      </c>
      <c r="V276" s="49">
        <v>0.000607</v>
      </c>
      <c r="W276" s="49">
        <v>2E-05</v>
      </c>
      <c r="X276" s="49">
        <v>0.544611</v>
      </c>
      <c r="Y276" s="49">
        <v>0</v>
      </c>
      <c r="Z276" s="49">
        <v>0</v>
      </c>
      <c r="AA276" s="72">
        <v>276</v>
      </c>
      <c r="AB276" s="72"/>
      <c r="AC276" s="73"/>
      <c r="AD276" s="88" t="s">
        <v>778</v>
      </c>
      <c r="AE276" s="88" t="s">
        <v>1052</v>
      </c>
      <c r="AF276" s="88" t="s">
        <v>1300</v>
      </c>
      <c r="AG276" s="88" t="s">
        <v>1421</v>
      </c>
      <c r="AH276" s="88" t="s">
        <v>1697</v>
      </c>
      <c r="AI276" s="88">
        <v>30911</v>
      </c>
      <c r="AJ276" s="88">
        <v>186</v>
      </c>
      <c r="AK276" s="88">
        <v>2828</v>
      </c>
      <c r="AL276" s="88">
        <v>38</v>
      </c>
      <c r="AM276" s="88" t="s">
        <v>1705</v>
      </c>
      <c r="AN276" s="100" t="str">
        <f>HYPERLINK("https://www.youtube.com/watch?v=PCvnMkVm0sQ")</f>
        <v>https://www.youtube.com/watch?v=PCvnMkVm0sQ</v>
      </c>
      <c r="AO276" s="88" t="str">
        <f>REPLACE(INDEX(GroupVertices[Group],MATCH(Vertices[[#This Row],[Vertex]],GroupVertices[Vertex],0)),1,1,"")</f>
        <v>6</v>
      </c>
      <c r="AP276" s="48">
        <v>2</v>
      </c>
      <c r="AQ276" s="49">
        <v>3.9215686274509802</v>
      </c>
      <c r="AR276" s="48">
        <v>1</v>
      </c>
      <c r="AS276" s="49">
        <v>1.9607843137254901</v>
      </c>
      <c r="AT276" s="48">
        <v>0</v>
      </c>
      <c r="AU276" s="49">
        <v>0</v>
      </c>
      <c r="AV276" s="48">
        <v>48</v>
      </c>
      <c r="AW276" s="49">
        <v>94.11764705882354</v>
      </c>
      <c r="AX276" s="48">
        <v>51</v>
      </c>
      <c r="AY276" s="48"/>
      <c r="AZ276" s="48"/>
      <c r="BA276" s="48"/>
      <c r="BB276" s="48"/>
      <c r="BC276" s="2"/>
      <c r="BD276" s="3"/>
      <c r="BE276" s="3"/>
      <c r="BF276" s="3"/>
      <c r="BG276" s="3"/>
    </row>
    <row r="277" spans="1:59" ht="15">
      <c r="A277" s="65" t="s">
        <v>487</v>
      </c>
      <c r="B277" s="66"/>
      <c r="C277" s="66"/>
      <c r="D277" s="67">
        <v>98.95971958846837</v>
      </c>
      <c r="E277" s="69"/>
      <c r="F277" s="98" t="str">
        <f>HYPERLINK("https://i.ytimg.com/vi/_hOGMmI5FpA/default.jpg")</f>
        <v>https://i.ytimg.com/vi/_hOGMmI5FpA/default.jpg</v>
      </c>
      <c r="G277" s="66"/>
      <c r="H277" s="70" t="s">
        <v>779</v>
      </c>
      <c r="I277" s="71"/>
      <c r="J277" s="71" t="s">
        <v>159</v>
      </c>
      <c r="K277" s="70" t="s">
        <v>779</v>
      </c>
      <c r="L277" s="74">
        <v>909.9090909090909</v>
      </c>
      <c r="M277" s="75">
        <v>8802.798828125</v>
      </c>
      <c r="N277" s="75">
        <v>3265.5693359375</v>
      </c>
      <c r="O277" s="76"/>
      <c r="P277" s="77"/>
      <c r="Q277" s="77"/>
      <c r="R277" s="91"/>
      <c r="S277" s="48">
        <v>1</v>
      </c>
      <c r="T277" s="48">
        <v>0</v>
      </c>
      <c r="U277" s="49">
        <v>0</v>
      </c>
      <c r="V277" s="49">
        <v>0.000607</v>
      </c>
      <c r="W277" s="49">
        <v>2E-05</v>
      </c>
      <c r="X277" s="49">
        <v>0.544611</v>
      </c>
      <c r="Y277" s="49">
        <v>0</v>
      </c>
      <c r="Z277" s="49">
        <v>0</v>
      </c>
      <c r="AA277" s="72">
        <v>277</v>
      </c>
      <c r="AB277" s="72"/>
      <c r="AC277" s="73"/>
      <c r="AD277" s="88" t="s">
        <v>779</v>
      </c>
      <c r="AE277" s="88" t="s">
        <v>1053</v>
      </c>
      <c r="AF277" s="88"/>
      <c r="AG277" s="88" t="s">
        <v>1422</v>
      </c>
      <c r="AH277" s="88" t="s">
        <v>1698</v>
      </c>
      <c r="AI277" s="88">
        <v>175010</v>
      </c>
      <c r="AJ277" s="88">
        <v>1125</v>
      </c>
      <c r="AK277" s="88">
        <v>5841</v>
      </c>
      <c r="AL277" s="88">
        <v>108</v>
      </c>
      <c r="AM277" s="88" t="s">
        <v>1705</v>
      </c>
      <c r="AN277" s="100" t="str">
        <f>HYPERLINK("https://www.youtube.com/watch?v=_hOGMmI5FpA")</f>
        <v>https://www.youtube.com/watch?v=_hOGMmI5FpA</v>
      </c>
      <c r="AO277" s="88" t="str">
        <f>REPLACE(INDEX(GroupVertices[Group],MATCH(Vertices[[#This Row],[Vertex]],GroupVertices[Vertex],0)),1,1,"")</f>
        <v>6</v>
      </c>
      <c r="AP277" s="48"/>
      <c r="AQ277" s="49"/>
      <c r="AR277" s="48"/>
      <c r="AS277" s="49"/>
      <c r="AT277" s="48"/>
      <c r="AU277" s="49"/>
      <c r="AV277" s="48"/>
      <c r="AW277" s="49"/>
      <c r="AX277" s="48"/>
      <c r="AY277" s="48"/>
      <c r="AZ277" s="48"/>
      <c r="BA277" s="48"/>
      <c r="BB277" s="48"/>
      <c r="BC277" s="2"/>
      <c r="BD277" s="3"/>
      <c r="BE277" s="3"/>
      <c r="BF277" s="3"/>
      <c r="BG277" s="3"/>
    </row>
    <row r="278" spans="1:59" ht="15">
      <c r="A278" s="65" t="s">
        <v>488</v>
      </c>
      <c r="B278" s="66"/>
      <c r="C278" s="66"/>
      <c r="D278" s="67">
        <v>86.03683558715642</v>
      </c>
      <c r="E278" s="69"/>
      <c r="F278" s="98" t="str">
        <f>HYPERLINK("https://i.ytimg.com/vi/lGBNawUcz_4/default.jpg")</f>
        <v>https://i.ytimg.com/vi/lGBNawUcz_4/default.jpg</v>
      </c>
      <c r="G278" s="66"/>
      <c r="H278" s="70" t="s">
        <v>780</v>
      </c>
      <c r="I278" s="71"/>
      <c r="J278" s="71" t="s">
        <v>159</v>
      </c>
      <c r="K278" s="70" t="s">
        <v>780</v>
      </c>
      <c r="L278" s="74">
        <v>909.9090909090909</v>
      </c>
      <c r="M278" s="75">
        <v>8310.15625</v>
      </c>
      <c r="N278" s="75">
        <v>5013.17724609375</v>
      </c>
      <c r="O278" s="76"/>
      <c r="P278" s="77"/>
      <c r="Q278" s="77"/>
      <c r="R278" s="91"/>
      <c r="S278" s="48">
        <v>1</v>
      </c>
      <c r="T278" s="48">
        <v>0</v>
      </c>
      <c r="U278" s="49">
        <v>0</v>
      </c>
      <c r="V278" s="49">
        <v>0.000607</v>
      </c>
      <c r="W278" s="49">
        <v>2E-05</v>
      </c>
      <c r="X278" s="49">
        <v>0.544611</v>
      </c>
      <c r="Y278" s="49">
        <v>0</v>
      </c>
      <c r="Z278" s="49">
        <v>0</v>
      </c>
      <c r="AA278" s="72">
        <v>278</v>
      </c>
      <c r="AB278" s="72"/>
      <c r="AC278" s="73"/>
      <c r="AD278" s="88" t="s">
        <v>780</v>
      </c>
      <c r="AE278" s="88" t="s">
        <v>1054</v>
      </c>
      <c r="AF278" s="88" t="s">
        <v>1293</v>
      </c>
      <c r="AG278" s="88" t="s">
        <v>1419</v>
      </c>
      <c r="AH278" s="88" t="s">
        <v>1699</v>
      </c>
      <c r="AI278" s="88">
        <v>55781</v>
      </c>
      <c r="AJ278" s="88">
        <v>273</v>
      </c>
      <c r="AK278" s="88">
        <v>5156</v>
      </c>
      <c r="AL278" s="88">
        <v>113</v>
      </c>
      <c r="AM278" s="88" t="s">
        <v>1705</v>
      </c>
      <c r="AN278" s="100" t="str">
        <f>HYPERLINK("https://www.youtube.com/watch?v=lGBNawUcz_4")</f>
        <v>https://www.youtube.com/watch?v=lGBNawUcz_4</v>
      </c>
      <c r="AO278" s="88" t="str">
        <f>REPLACE(INDEX(GroupVertices[Group],MATCH(Vertices[[#This Row],[Vertex]],GroupVertices[Vertex],0)),1,1,"")</f>
        <v>6</v>
      </c>
      <c r="AP278" s="48">
        <v>0</v>
      </c>
      <c r="AQ278" s="49">
        <v>0</v>
      </c>
      <c r="AR278" s="48">
        <v>0</v>
      </c>
      <c r="AS278" s="49">
        <v>0</v>
      </c>
      <c r="AT278" s="48">
        <v>0</v>
      </c>
      <c r="AU278" s="49">
        <v>0</v>
      </c>
      <c r="AV278" s="48">
        <v>36</v>
      </c>
      <c r="AW278" s="49">
        <v>100</v>
      </c>
      <c r="AX278" s="48">
        <v>36</v>
      </c>
      <c r="AY278" s="48"/>
      <c r="AZ278" s="48"/>
      <c r="BA278" s="48"/>
      <c r="BB278" s="48"/>
      <c r="BC278" s="2"/>
      <c r="BD278" s="3"/>
      <c r="BE278" s="3"/>
      <c r="BF278" s="3"/>
      <c r="BG278" s="3"/>
    </row>
    <row r="279" spans="1:59" ht="15">
      <c r="A279" s="65" t="s">
        <v>489</v>
      </c>
      <c r="B279" s="66"/>
      <c r="C279" s="66"/>
      <c r="D279" s="67">
        <v>177.32260803836337</v>
      </c>
      <c r="E279" s="69"/>
      <c r="F279" s="98" t="str">
        <f>HYPERLINK("https://i.ytimg.com/vi/bXFGHsvyqJ4/default.jpg")</f>
        <v>https://i.ytimg.com/vi/bXFGHsvyqJ4/default.jpg</v>
      </c>
      <c r="G279" s="66"/>
      <c r="H279" s="70" t="s">
        <v>781</v>
      </c>
      <c r="I279" s="71"/>
      <c r="J279" s="71" t="s">
        <v>159</v>
      </c>
      <c r="K279" s="70" t="s">
        <v>781</v>
      </c>
      <c r="L279" s="74">
        <v>909.9090909090909</v>
      </c>
      <c r="M279" s="75">
        <v>8808.3408203125</v>
      </c>
      <c r="N279" s="75">
        <v>6574.48681640625</v>
      </c>
      <c r="O279" s="76"/>
      <c r="P279" s="77"/>
      <c r="Q279" s="77"/>
      <c r="R279" s="91"/>
      <c r="S279" s="48">
        <v>1</v>
      </c>
      <c r="T279" s="48">
        <v>0</v>
      </c>
      <c r="U279" s="49">
        <v>0</v>
      </c>
      <c r="V279" s="49">
        <v>0.000607</v>
      </c>
      <c r="W279" s="49">
        <v>2E-05</v>
      </c>
      <c r="X279" s="49">
        <v>0.544611</v>
      </c>
      <c r="Y279" s="49">
        <v>0</v>
      </c>
      <c r="Z279" s="49">
        <v>0</v>
      </c>
      <c r="AA279" s="72">
        <v>279</v>
      </c>
      <c r="AB279" s="72"/>
      <c r="AC279" s="73"/>
      <c r="AD279" s="88" t="s">
        <v>781</v>
      </c>
      <c r="AE279" s="88" t="s">
        <v>1055</v>
      </c>
      <c r="AF279" s="88" t="s">
        <v>1301</v>
      </c>
      <c r="AG279" s="88" t="s">
        <v>1423</v>
      </c>
      <c r="AH279" s="88" t="s">
        <v>1700</v>
      </c>
      <c r="AI279" s="88">
        <v>898001</v>
      </c>
      <c r="AJ279" s="88">
        <v>1253</v>
      </c>
      <c r="AK279" s="88">
        <v>23205</v>
      </c>
      <c r="AL279" s="88">
        <v>863</v>
      </c>
      <c r="AM279" s="88" t="s">
        <v>1705</v>
      </c>
      <c r="AN279" s="100" t="str">
        <f>HYPERLINK("https://www.youtube.com/watch?v=bXFGHsvyqJ4")</f>
        <v>https://www.youtube.com/watch?v=bXFGHsvyqJ4</v>
      </c>
      <c r="AO279" s="88" t="str">
        <f>REPLACE(INDEX(GroupVertices[Group],MATCH(Vertices[[#This Row],[Vertex]],GroupVertices[Vertex],0)),1,1,"")</f>
        <v>6</v>
      </c>
      <c r="AP279" s="48">
        <v>3</v>
      </c>
      <c r="AQ279" s="49">
        <v>5.769230769230769</v>
      </c>
      <c r="AR279" s="48">
        <v>1</v>
      </c>
      <c r="AS279" s="49">
        <v>1.9230769230769231</v>
      </c>
      <c r="AT279" s="48">
        <v>0</v>
      </c>
      <c r="AU279" s="49">
        <v>0</v>
      </c>
      <c r="AV279" s="48">
        <v>48</v>
      </c>
      <c r="AW279" s="49">
        <v>92.3076923076923</v>
      </c>
      <c r="AX279" s="48">
        <v>52</v>
      </c>
      <c r="AY279" s="48"/>
      <c r="AZ279" s="48"/>
      <c r="BA279" s="48"/>
      <c r="BB279" s="48"/>
      <c r="BC279" s="2"/>
      <c r="BD279" s="3"/>
      <c r="BE279" s="3"/>
      <c r="BF279" s="3"/>
      <c r="BG279" s="3"/>
    </row>
    <row r="280" spans="1:59" ht="15">
      <c r="A280" s="65" t="s">
        <v>490</v>
      </c>
      <c r="B280" s="66"/>
      <c r="C280" s="66"/>
      <c r="D280" s="67">
        <v>456.6747171568276</v>
      </c>
      <c r="E280" s="69"/>
      <c r="F280" s="98" t="str">
        <f>HYPERLINK("https://i.ytimg.com/vi/FWUdr9D2gX0/default.jpg")</f>
        <v>https://i.ytimg.com/vi/FWUdr9D2gX0/default.jpg</v>
      </c>
      <c r="G280" s="66"/>
      <c r="H280" s="70" t="s">
        <v>782</v>
      </c>
      <c r="I280" s="71"/>
      <c r="J280" s="71" t="s">
        <v>159</v>
      </c>
      <c r="K280" s="70" t="s">
        <v>782</v>
      </c>
      <c r="L280" s="74">
        <v>909.9090909090909</v>
      </c>
      <c r="M280" s="75">
        <v>9384.626953125</v>
      </c>
      <c r="N280" s="75">
        <v>5251.23388671875</v>
      </c>
      <c r="O280" s="76"/>
      <c r="P280" s="77"/>
      <c r="Q280" s="77"/>
      <c r="R280" s="91"/>
      <c r="S280" s="48">
        <v>1</v>
      </c>
      <c r="T280" s="48">
        <v>0</v>
      </c>
      <c r="U280" s="49">
        <v>0</v>
      </c>
      <c r="V280" s="49">
        <v>0.000607</v>
      </c>
      <c r="W280" s="49">
        <v>2E-05</v>
      </c>
      <c r="X280" s="49">
        <v>0.544611</v>
      </c>
      <c r="Y280" s="49">
        <v>0</v>
      </c>
      <c r="Z280" s="49">
        <v>0</v>
      </c>
      <c r="AA280" s="72">
        <v>280</v>
      </c>
      <c r="AB280" s="72"/>
      <c r="AC280" s="73"/>
      <c r="AD280" s="88" t="s">
        <v>782</v>
      </c>
      <c r="AE280" s="88" t="s">
        <v>1056</v>
      </c>
      <c r="AF280" s="88" t="s">
        <v>1302</v>
      </c>
      <c r="AG280" s="88" t="s">
        <v>1424</v>
      </c>
      <c r="AH280" s="88" t="s">
        <v>1701</v>
      </c>
      <c r="AI280" s="88">
        <v>3475357</v>
      </c>
      <c r="AJ280" s="88">
        <v>6227</v>
      </c>
      <c r="AK280" s="88">
        <v>144283</v>
      </c>
      <c r="AL280" s="88">
        <v>2359</v>
      </c>
      <c r="AM280" s="88" t="s">
        <v>1705</v>
      </c>
      <c r="AN280" s="100" t="str">
        <f>HYPERLINK("https://www.youtube.com/watch?v=FWUdr9D2gX0")</f>
        <v>https://www.youtube.com/watch?v=FWUdr9D2gX0</v>
      </c>
      <c r="AO280" s="88" t="str">
        <f>REPLACE(INDEX(GroupVertices[Group],MATCH(Vertices[[#This Row],[Vertex]],GroupVertices[Vertex],0)),1,1,"")</f>
        <v>6</v>
      </c>
      <c r="AP280" s="48">
        <v>0</v>
      </c>
      <c r="AQ280" s="49">
        <v>0</v>
      </c>
      <c r="AR280" s="48">
        <v>0</v>
      </c>
      <c r="AS280" s="49">
        <v>0</v>
      </c>
      <c r="AT280" s="48">
        <v>0</v>
      </c>
      <c r="AU280" s="49">
        <v>0</v>
      </c>
      <c r="AV280" s="48">
        <v>20</v>
      </c>
      <c r="AW280" s="49">
        <v>100</v>
      </c>
      <c r="AX280" s="48">
        <v>20</v>
      </c>
      <c r="AY280" s="48"/>
      <c r="AZ280" s="48"/>
      <c r="BA280" s="48"/>
      <c r="BB280" s="48"/>
      <c r="BC280" s="2"/>
      <c r="BD280" s="3"/>
      <c r="BE280" s="3"/>
      <c r="BF280" s="3"/>
      <c r="BG280" s="3"/>
    </row>
    <row r="281" spans="1:59" ht="15">
      <c r="A281" s="65" t="s">
        <v>491</v>
      </c>
      <c r="B281" s="66"/>
      <c r="C281" s="66"/>
      <c r="D281" s="67">
        <v>100.72707942982737</v>
      </c>
      <c r="E281" s="69"/>
      <c r="F281" s="98" t="str">
        <f>HYPERLINK("https://i.ytimg.com/vi/aHI2PSZxHYQ/default.jpg")</f>
        <v>https://i.ytimg.com/vi/aHI2PSZxHYQ/default.jpg</v>
      </c>
      <c r="G281" s="66"/>
      <c r="H281" s="70" t="s">
        <v>783</v>
      </c>
      <c r="I281" s="71"/>
      <c r="J281" s="71" t="s">
        <v>159</v>
      </c>
      <c r="K281" s="70" t="s">
        <v>783</v>
      </c>
      <c r="L281" s="74">
        <v>909.9090909090909</v>
      </c>
      <c r="M281" s="75">
        <v>8570.2900390625</v>
      </c>
      <c r="N281" s="75">
        <v>4055.4501953125</v>
      </c>
      <c r="O281" s="76"/>
      <c r="P281" s="77"/>
      <c r="Q281" s="77"/>
      <c r="R281" s="91"/>
      <c r="S281" s="48">
        <v>1</v>
      </c>
      <c r="T281" s="48">
        <v>0</v>
      </c>
      <c r="U281" s="49">
        <v>0</v>
      </c>
      <c r="V281" s="49">
        <v>0.000607</v>
      </c>
      <c r="W281" s="49">
        <v>2E-05</v>
      </c>
      <c r="X281" s="49">
        <v>0.544611</v>
      </c>
      <c r="Y281" s="49">
        <v>0</v>
      </c>
      <c r="Z281" s="49">
        <v>0</v>
      </c>
      <c r="AA281" s="72">
        <v>281</v>
      </c>
      <c r="AB281" s="72"/>
      <c r="AC281" s="73"/>
      <c r="AD281" s="88" t="s">
        <v>783</v>
      </c>
      <c r="AE281" s="88" t="s">
        <v>1057</v>
      </c>
      <c r="AF281" s="88" t="s">
        <v>1303</v>
      </c>
      <c r="AG281" s="88" t="s">
        <v>1419</v>
      </c>
      <c r="AH281" s="88" t="s">
        <v>1702</v>
      </c>
      <c r="AI281" s="88">
        <v>191316</v>
      </c>
      <c r="AJ281" s="88">
        <v>702</v>
      </c>
      <c r="AK281" s="88">
        <v>11750</v>
      </c>
      <c r="AL281" s="88">
        <v>261</v>
      </c>
      <c r="AM281" s="88" t="s">
        <v>1705</v>
      </c>
      <c r="AN281" s="100" t="str">
        <f>HYPERLINK("https://www.youtube.com/watch?v=aHI2PSZxHYQ")</f>
        <v>https://www.youtube.com/watch?v=aHI2PSZxHYQ</v>
      </c>
      <c r="AO281" s="88" t="str">
        <f>REPLACE(INDEX(GroupVertices[Group],MATCH(Vertices[[#This Row],[Vertex]],GroupVertices[Vertex],0)),1,1,"")</f>
        <v>6</v>
      </c>
      <c r="AP281" s="48">
        <v>0</v>
      </c>
      <c r="AQ281" s="49">
        <v>0</v>
      </c>
      <c r="AR281" s="48">
        <v>0</v>
      </c>
      <c r="AS281" s="49">
        <v>0</v>
      </c>
      <c r="AT281" s="48">
        <v>0</v>
      </c>
      <c r="AU281" s="49">
        <v>0</v>
      </c>
      <c r="AV281" s="48">
        <v>42</v>
      </c>
      <c r="AW281" s="49">
        <v>100</v>
      </c>
      <c r="AX281" s="48">
        <v>42</v>
      </c>
      <c r="AY281" s="48"/>
      <c r="AZ281" s="48"/>
      <c r="BA281" s="48"/>
      <c r="BB281" s="48"/>
      <c r="BC281" s="2"/>
      <c r="BD281" s="3"/>
      <c r="BE281" s="3"/>
      <c r="BF281" s="3"/>
      <c r="BG281" s="3"/>
    </row>
    <row r="282" spans="1:59" ht="15">
      <c r="A282" s="79" t="s">
        <v>492</v>
      </c>
      <c r="B282" s="80"/>
      <c r="C282" s="80"/>
      <c r="D282" s="81">
        <v>87.18747290322824</v>
      </c>
      <c r="E282" s="83"/>
      <c r="F282" s="99" t="str">
        <f>HYPERLINK("https://i.ytimg.com/vi/u0UcUD2M910/default.jpg")</f>
        <v>https://i.ytimg.com/vi/u0UcUD2M910/default.jpg</v>
      </c>
      <c r="G282" s="80"/>
      <c r="H282" s="84" t="s">
        <v>784</v>
      </c>
      <c r="I282" s="85"/>
      <c r="J282" s="85" t="s">
        <v>159</v>
      </c>
      <c r="K282" s="84" t="s">
        <v>784</v>
      </c>
      <c r="L282" s="92">
        <v>909.9090909090909</v>
      </c>
      <c r="M282" s="93">
        <v>9792.62890625</v>
      </c>
      <c r="N282" s="93">
        <v>4316.3203125</v>
      </c>
      <c r="O282" s="94"/>
      <c r="P282" s="95"/>
      <c r="Q282" s="95"/>
      <c r="R282" s="96"/>
      <c r="S282" s="48">
        <v>1</v>
      </c>
      <c r="T282" s="48">
        <v>0</v>
      </c>
      <c r="U282" s="49">
        <v>0</v>
      </c>
      <c r="V282" s="49">
        <v>0.000607</v>
      </c>
      <c r="W282" s="49">
        <v>2E-05</v>
      </c>
      <c r="X282" s="49">
        <v>0.544611</v>
      </c>
      <c r="Y282" s="49">
        <v>0</v>
      </c>
      <c r="Z282" s="49">
        <v>0</v>
      </c>
      <c r="AA282" s="97">
        <v>282</v>
      </c>
      <c r="AB282" s="97"/>
      <c r="AC282" s="87"/>
      <c r="AD282" s="88" t="s">
        <v>784</v>
      </c>
      <c r="AE282" s="88" t="s">
        <v>1058</v>
      </c>
      <c r="AF282" s="88" t="s">
        <v>1304</v>
      </c>
      <c r="AG282" s="88" t="s">
        <v>1419</v>
      </c>
      <c r="AH282" s="88" t="s">
        <v>1703</v>
      </c>
      <c r="AI282" s="88">
        <v>66397</v>
      </c>
      <c r="AJ282" s="88">
        <v>276</v>
      </c>
      <c r="AK282" s="88">
        <v>4664</v>
      </c>
      <c r="AL282" s="88">
        <v>176</v>
      </c>
      <c r="AM282" s="88" t="s">
        <v>1705</v>
      </c>
      <c r="AN282" s="100" t="str">
        <f>HYPERLINK("https://www.youtube.com/watch?v=u0UcUD2M910")</f>
        <v>https://www.youtube.com/watch?v=u0UcUD2M910</v>
      </c>
      <c r="AO282" s="88" t="str">
        <f>REPLACE(INDEX(GroupVertices[Group],MATCH(Vertices[[#This Row],[Vertex]],GroupVertices[Vertex],0)),1,1,"")</f>
        <v>6</v>
      </c>
      <c r="AP282" s="48">
        <v>0</v>
      </c>
      <c r="AQ282" s="49">
        <v>0</v>
      </c>
      <c r="AR282" s="48">
        <v>4</v>
      </c>
      <c r="AS282" s="49">
        <v>5.2631578947368425</v>
      </c>
      <c r="AT282" s="48">
        <v>0</v>
      </c>
      <c r="AU282" s="49">
        <v>0</v>
      </c>
      <c r="AV282" s="48">
        <v>72</v>
      </c>
      <c r="AW282" s="49">
        <v>94.73684210526316</v>
      </c>
      <c r="AX282" s="48">
        <v>76</v>
      </c>
      <c r="AY282" s="48"/>
      <c r="AZ282" s="48"/>
      <c r="BA282" s="48"/>
      <c r="BB282" s="48"/>
      <c r="BC282" s="2"/>
      <c r="BD282" s="3"/>
      <c r="BE282" s="3"/>
      <c r="BF282" s="3"/>
      <c r="BG2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2"/>
    <dataValidation allowBlank="1" errorTitle="Invalid Vertex Visibility" error="You have entered an unrecognized vertex visibility.  Try selecting from the drop-down list instead." sqref="BC3"/>
    <dataValidation allowBlank="1" showErrorMessage="1" sqref="BC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2"/>
    <dataValidation allowBlank="1" showInputMessage="1" promptTitle="Vertex Tooltip" prompt="Enter optional text that will pop up when the mouse is hovered over the vertex." errorTitle="Invalid Vertex Image Key" sqref="K3:K2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2"/>
    <dataValidation allowBlank="1" showInputMessage="1" promptTitle="Vertex Label Fill Color" prompt="To select an optional fill color for the Label shape, right-click and select Select Color on the right-click menu." sqref="I3:I282"/>
    <dataValidation allowBlank="1" showInputMessage="1" promptTitle="Vertex Image File" prompt="Enter the path to an image file.  Hover over the column header for examples." errorTitle="Invalid Vertex Image Key" sqref="F3:F282"/>
    <dataValidation allowBlank="1" showInputMessage="1" promptTitle="Vertex Color" prompt="To select an optional vertex color, right-click and select Select Color on the right-click menu." sqref="B3:B282"/>
    <dataValidation allowBlank="1" showInputMessage="1" promptTitle="Vertex Opacity" prompt="Enter an optional vertex opacity between 0 (transparent) and 100 (opaque)." errorTitle="Invalid Vertex Opacity" error="The optional vertex opacity must be a whole number between 0 and 10." sqref="E3:E282"/>
    <dataValidation type="list" allowBlank="1" showInputMessage="1" showErrorMessage="1" promptTitle="Vertex Shape" prompt="Select an optional vertex shape." errorTitle="Invalid Vertex Shape" error="You have entered an invalid vertex shape.  Try selecting from the drop-down list instead." sqref="C3:C2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2">
      <formula1>ValidVertexLabelPositions</formula1>
    </dataValidation>
    <dataValidation allowBlank="1" showInputMessage="1" showErrorMessage="1" promptTitle="Vertex Name" prompt="Enter the name of the vertex." sqref="A3:A2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12"/>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3.140625" style="0" bestFit="1" customWidth="1"/>
    <col min="35" max="35" width="14.00390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35"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2572</v>
      </c>
      <c r="Z2" s="52" t="s">
        <v>2573</v>
      </c>
      <c r="AA2" s="52" t="s">
        <v>2574</v>
      </c>
      <c r="AB2" s="52" t="s">
        <v>2575</v>
      </c>
      <c r="AC2" s="52" t="s">
        <v>2576</v>
      </c>
      <c r="AD2" s="52" t="s">
        <v>2577</v>
      </c>
      <c r="AE2" s="52" t="s">
        <v>2578</v>
      </c>
      <c r="AF2" s="52" t="s">
        <v>2579</v>
      </c>
      <c r="AG2" s="52" t="s">
        <v>2582</v>
      </c>
      <c r="AH2" s="13" t="s">
        <v>2638</v>
      </c>
      <c r="AI2" s="13" t="s">
        <v>2735</v>
      </c>
    </row>
    <row r="3" spans="1:35" ht="15">
      <c r="A3" s="79" t="s">
        <v>1707</v>
      </c>
      <c r="B3" s="66" t="s">
        <v>1717</v>
      </c>
      <c r="C3" s="66" t="s">
        <v>56</v>
      </c>
      <c r="D3" s="102"/>
      <c r="E3" s="101"/>
      <c r="F3" s="103" t="s">
        <v>2752</v>
      </c>
      <c r="G3" s="104"/>
      <c r="H3" s="104"/>
      <c r="I3" s="105">
        <v>3</v>
      </c>
      <c r="J3" s="106"/>
      <c r="K3" s="48">
        <v>49</v>
      </c>
      <c r="L3" s="48">
        <v>58</v>
      </c>
      <c r="M3" s="48">
        <v>0</v>
      </c>
      <c r="N3" s="48">
        <v>58</v>
      </c>
      <c r="O3" s="48">
        <v>0</v>
      </c>
      <c r="P3" s="49">
        <v>0</v>
      </c>
      <c r="Q3" s="49">
        <v>0</v>
      </c>
      <c r="R3" s="48">
        <v>1</v>
      </c>
      <c r="S3" s="48">
        <v>0</v>
      </c>
      <c r="T3" s="48">
        <v>49</v>
      </c>
      <c r="U3" s="48">
        <v>58</v>
      </c>
      <c r="V3" s="48">
        <v>4</v>
      </c>
      <c r="W3" s="49">
        <v>2.943773</v>
      </c>
      <c r="X3" s="49">
        <v>0.02465986394557823</v>
      </c>
      <c r="Y3" s="48">
        <v>29</v>
      </c>
      <c r="Z3" s="49">
        <v>1.594282572842221</v>
      </c>
      <c r="AA3" s="48">
        <v>84</v>
      </c>
      <c r="AB3" s="49">
        <v>4.617921935129192</v>
      </c>
      <c r="AC3" s="48">
        <v>0</v>
      </c>
      <c r="AD3" s="49">
        <v>0</v>
      </c>
      <c r="AE3" s="48">
        <v>1706</v>
      </c>
      <c r="AF3" s="49">
        <v>93.7877954920286</v>
      </c>
      <c r="AG3" s="48">
        <v>1819</v>
      </c>
      <c r="AH3" s="114" t="s">
        <v>2639</v>
      </c>
      <c r="AI3" s="114" t="s">
        <v>2736</v>
      </c>
    </row>
    <row r="4" spans="1:35" ht="15">
      <c r="A4" s="79" t="s">
        <v>1708</v>
      </c>
      <c r="B4" s="66" t="s">
        <v>1718</v>
      </c>
      <c r="C4" s="66" t="s">
        <v>56</v>
      </c>
      <c r="D4" s="108"/>
      <c r="E4" s="107"/>
      <c r="F4" s="109" t="s">
        <v>2753</v>
      </c>
      <c r="G4" s="110"/>
      <c r="H4" s="110"/>
      <c r="I4" s="111">
        <v>4</v>
      </c>
      <c r="J4" s="112"/>
      <c r="K4" s="48">
        <v>42</v>
      </c>
      <c r="L4" s="48">
        <v>78</v>
      </c>
      <c r="M4" s="48">
        <v>0</v>
      </c>
      <c r="N4" s="48">
        <v>78</v>
      </c>
      <c r="O4" s="48">
        <v>0</v>
      </c>
      <c r="P4" s="49">
        <v>0</v>
      </c>
      <c r="Q4" s="49">
        <v>0</v>
      </c>
      <c r="R4" s="48">
        <v>1</v>
      </c>
      <c r="S4" s="48">
        <v>0</v>
      </c>
      <c r="T4" s="48">
        <v>42</v>
      </c>
      <c r="U4" s="48">
        <v>78</v>
      </c>
      <c r="V4" s="48">
        <v>4</v>
      </c>
      <c r="W4" s="49">
        <v>2.361678</v>
      </c>
      <c r="X4" s="49">
        <v>0.04529616724738676</v>
      </c>
      <c r="Y4" s="48">
        <v>21</v>
      </c>
      <c r="Z4" s="49">
        <v>1.3435700575815739</v>
      </c>
      <c r="AA4" s="48">
        <v>67</v>
      </c>
      <c r="AB4" s="49">
        <v>4.286628278950736</v>
      </c>
      <c r="AC4" s="48">
        <v>0</v>
      </c>
      <c r="AD4" s="49">
        <v>0</v>
      </c>
      <c r="AE4" s="48">
        <v>1475</v>
      </c>
      <c r="AF4" s="49">
        <v>94.36980166346768</v>
      </c>
      <c r="AG4" s="48">
        <v>1563</v>
      </c>
      <c r="AH4" s="114" t="s">
        <v>2640</v>
      </c>
      <c r="AI4" s="114" t="s">
        <v>2737</v>
      </c>
    </row>
    <row r="5" spans="1:35" ht="15">
      <c r="A5" s="79" t="s">
        <v>1709</v>
      </c>
      <c r="B5" s="66" t="s">
        <v>1719</v>
      </c>
      <c r="C5" s="66" t="s">
        <v>56</v>
      </c>
      <c r="D5" s="108"/>
      <c r="E5" s="107"/>
      <c r="F5" s="109" t="s">
        <v>2754</v>
      </c>
      <c r="G5" s="110"/>
      <c r="H5" s="110"/>
      <c r="I5" s="111">
        <v>5</v>
      </c>
      <c r="J5" s="112"/>
      <c r="K5" s="48">
        <v>36</v>
      </c>
      <c r="L5" s="48">
        <v>36</v>
      </c>
      <c r="M5" s="48">
        <v>0</v>
      </c>
      <c r="N5" s="48">
        <v>36</v>
      </c>
      <c r="O5" s="48">
        <v>0</v>
      </c>
      <c r="P5" s="49">
        <v>0</v>
      </c>
      <c r="Q5" s="49">
        <v>0</v>
      </c>
      <c r="R5" s="48">
        <v>1</v>
      </c>
      <c r="S5" s="48">
        <v>0</v>
      </c>
      <c r="T5" s="48">
        <v>36</v>
      </c>
      <c r="U5" s="48">
        <v>36</v>
      </c>
      <c r="V5" s="48">
        <v>3</v>
      </c>
      <c r="W5" s="49">
        <v>2.299383</v>
      </c>
      <c r="X5" s="49">
        <v>0.02857142857142857</v>
      </c>
      <c r="Y5" s="48">
        <v>5</v>
      </c>
      <c r="Z5" s="49">
        <v>0.9900990099009901</v>
      </c>
      <c r="AA5" s="48">
        <v>8</v>
      </c>
      <c r="AB5" s="49">
        <v>1.5841584158415842</v>
      </c>
      <c r="AC5" s="48">
        <v>0</v>
      </c>
      <c r="AD5" s="49">
        <v>0</v>
      </c>
      <c r="AE5" s="48">
        <v>492</v>
      </c>
      <c r="AF5" s="49">
        <v>97.42574257425743</v>
      </c>
      <c r="AG5" s="48">
        <v>505</v>
      </c>
      <c r="AH5" s="114" t="s">
        <v>2641</v>
      </c>
      <c r="AI5" s="114" t="s">
        <v>2738</v>
      </c>
    </row>
    <row r="6" spans="1:35" ht="15">
      <c r="A6" s="79" t="s">
        <v>1710</v>
      </c>
      <c r="B6" s="66" t="s">
        <v>1720</v>
      </c>
      <c r="C6" s="66" t="s">
        <v>56</v>
      </c>
      <c r="D6" s="108"/>
      <c r="E6" s="107"/>
      <c r="F6" s="109" t="s">
        <v>2755</v>
      </c>
      <c r="G6" s="110"/>
      <c r="H6" s="110"/>
      <c r="I6" s="111">
        <v>6</v>
      </c>
      <c r="J6" s="112"/>
      <c r="K6" s="48">
        <v>27</v>
      </c>
      <c r="L6" s="48">
        <v>28</v>
      </c>
      <c r="M6" s="48">
        <v>0</v>
      </c>
      <c r="N6" s="48">
        <v>28</v>
      </c>
      <c r="O6" s="48">
        <v>0</v>
      </c>
      <c r="P6" s="49">
        <v>0</v>
      </c>
      <c r="Q6" s="49">
        <v>0</v>
      </c>
      <c r="R6" s="48">
        <v>1</v>
      </c>
      <c r="S6" s="48">
        <v>0</v>
      </c>
      <c r="T6" s="48">
        <v>27</v>
      </c>
      <c r="U6" s="48">
        <v>28</v>
      </c>
      <c r="V6" s="48">
        <v>3</v>
      </c>
      <c r="W6" s="49">
        <v>2.205761</v>
      </c>
      <c r="X6" s="49">
        <v>0.039886039886039885</v>
      </c>
      <c r="Y6" s="48">
        <v>10</v>
      </c>
      <c r="Z6" s="49">
        <v>0.8695652173913043</v>
      </c>
      <c r="AA6" s="48">
        <v>54</v>
      </c>
      <c r="AB6" s="49">
        <v>4.695652173913044</v>
      </c>
      <c r="AC6" s="48">
        <v>0</v>
      </c>
      <c r="AD6" s="49">
        <v>0</v>
      </c>
      <c r="AE6" s="48">
        <v>1086</v>
      </c>
      <c r="AF6" s="49">
        <v>94.43478260869566</v>
      </c>
      <c r="AG6" s="48">
        <v>1150</v>
      </c>
      <c r="AH6" s="114" t="s">
        <v>2642</v>
      </c>
      <c r="AI6" s="114" t="s">
        <v>2739</v>
      </c>
    </row>
    <row r="7" spans="1:35" ht="15">
      <c r="A7" s="79" t="s">
        <v>1711</v>
      </c>
      <c r="B7" s="66" t="s">
        <v>1721</v>
      </c>
      <c r="C7" s="66" t="s">
        <v>56</v>
      </c>
      <c r="D7" s="108"/>
      <c r="E7" s="107"/>
      <c r="F7" s="109" t="s">
        <v>2756</v>
      </c>
      <c r="G7" s="110"/>
      <c r="H7" s="110"/>
      <c r="I7" s="111">
        <v>7</v>
      </c>
      <c r="J7" s="112"/>
      <c r="K7" s="48">
        <v>25</v>
      </c>
      <c r="L7" s="48">
        <v>26</v>
      </c>
      <c r="M7" s="48">
        <v>0</v>
      </c>
      <c r="N7" s="48">
        <v>26</v>
      </c>
      <c r="O7" s="48">
        <v>0</v>
      </c>
      <c r="P7" s="49">
        <v>0</v>
      </c>
      <c r="Q7" s="49">
        <v>0</v>
      </c>
      <c r="R7" s="48">
        <v>1</v>
      </c>
      <c r="S7" s="48">
        <v>0</v>
      </c>
      <c r="T7" s="48">
        <v>25</v>
      </c>
      <c r="U7" s="48">
        <v>26</v>
      </c>
      <c r="V7" s="48">
        <v>4</v>
      </c>
      <c r="W7" s="49">
        <v>2.5344</v>
      </c>
      <c r="X7" s="49">
        <v>0.043333333333333335</v>
      </c>
      <c r="Y7" s="48">
        <v>15</v>
      </c>
      <c r="Z7" s="49">
        <v>1.5151515151515151</v>
      </c>
      <c r="AA7" s="48">
        <v>61</v>
      </c>
      <c r="AB7" s="49">
        <v>6.161616161616162</v>
      </c>
      <c r="AC7" s="48">
        <v>0</v>
      </c>
      <c r="AD7" s="49">
        <v>0</v>
      </c>
      <c r="AE7" s="48">
        <v>914</v>
      </c>
      <c r="AF7" s="49">
        <v>92.32323232323232</v>
      </c>
      <c r="AG7" s="48">
        <v>990</v>
      </c>
      <c r="AH7" s="114" t="s">
        <v>2643</v>
      </c>
      <c r="AI7" s="114" t="s">
        <v>2740</v>
      </c>
    </row>
    <row r="8" spans="1:35" ht="15">
      <c r="A8" s="79" t="s">
        <v>1712</v>
      </c>
      <c r="B8" s="66" t="s">
        <v>1722</v>
      </c>
      <c r="C8" s="66" t="s">
        <v>56</v>
      </c>
      <c r="D8" s="108"/>
      <c r="E8" s="107"/>
      <c r="F8" s="109" t="s">
        <v>2757</v>
      </c>
      <c r="G8" s="110"/>
      <c r="H8" s="110"/>
      <c r="I8" s="111">
        <v>8</v>
      </c>
      <c r="J8" s="112"/>
      <c r="K8" s="48">
        <v>21</v>
      </c>
      <c r="L8" s="48">
        <v>20</v>
      </c>
      <c r="M8" s="48">
        <v>0</v>
      </c>
      <c r="N8" s="48">
        <v>20</v>
      </c>
      <c r="O8" s="48">
        <v>0</v>
      </c>
      <c r="P8" s="49">
        <v>0</v>
      </c>
      <c r="Q8" s="49">
        <v>0</v>
      </c>
      <c r="R8" s="48">
        <v>1</v>
      </c>
      <c r="S8" s="48">
        <v>0</v>
      </c>
      <c r="T8" s="48">
        <v>21</v>
      </c>
      <c r="U8" s="48">
        <v>20</v>
      </c>
      <c r="V8" s="48">
        <v>2</v>
      </c>
      <c r="W8" s="49">
        <v>1.814059</v>
      </c>
      <c r="X8" s="49">
        <v>0.047619047619047616</v>
      </c>
      <c r="Y8" s="48">
        <v>6</v>
      </c>
      <c r="Z8" s="49">
        <v>0.8075370121130552</v>
      </c>
      <c r="AA8" s="48">
        <v>11</v>
      </c>
      <c r="AB8" s="49">
        <v>1.4804845222072678</v>
      </c>
      <c r="AC8" s="48">
        <v>0</v>
      </c>
      <c r="AD8" s="49">
        <v>0</v>
      </c>
      <c r="AE8" s="48">
        <v>726</v>
      </c>
      <c r="AF8" s="49">
        <v>97.71197846567968</v>
      </c>
      <c r="AG8" s="48">
        <v>743</v>
      </c>
      <c r="AH8" s="114" t="s">
        <v>2644</v>
      </c>
      <c r="AI8" s="114" t="s">
        <v>2741</v>
      </c>
    </row>
    <row r="9" spans="1:35" ht="15">
      <c r="A9" s="79" t="s">
        <v>1713</v>
      </c>
      <c r="B9" s="66" t="s">
        <v>1723</v>
      </c>
      <c r="C9" s="66" t="s">
        <v>56</v>
      </c>
      <c r="D9" s="108"/>
      <c r="E9" s="107"/>
      <c r="F9" s="109" t="s">
        <v>2758</v>
      </c>
      <c r="G9" s="110"/>
      <c r="H9" s="110"/>
      <c r="I9" s="111">
        <v>9</v>
      </c>
      <c r="J9" s="112"/>
      <c r="K9" s="48">
        <v>21</v>
      </c>
      <c r="L9" s="48">
        <v>20</v>
      </c>
      <c r="M9" s="48">
        <v>0</v>
      </c>
      <c r="N9" s="48">
        <v>20</v>
      </c>
      <c r="O9" s="48">
        <v>0</v>
      </c>
      <c r="P9" s="49">
        <v>0</v>
      </c>
      <c r="Q9" s="49">
        <v>0</v>
      </c>
      <c r="R9" s="48">
        <v>1</v>
      </c>
      <c r="S9" s="48">
        <v>0</v>
      </c>
      <c r="T9" s="48">
        <v>21</v>
      </c>
      <c r="U9" s="48">
        <v>20</v>
      </c>
      <c r="V9" s="48">
        <v>2</v>
      </c>
      <c r="W9" s="49">
        <v>1.814059</v>
      </c>
      <c r="X9" s="49">
        <v>0.047619047619047616</v>
      </c>
      <c r="Y9" s="48">
        <v>14</v>
      </c>
      <c r="Z9" s="49">
        <v>1.9021739130434783</v>
      </c>
      <c r="AA9" s="48">
        <v>31</v>
      </c>
      <c r="AB9" s="49">
        <v>4.211956521739131</v>
      </c>
      <c r="AC9" s="48">
        <v>0</v>
      </c>
      <c r="AD9" s="49">
        <v>0</v>
      </c>
      <c r="AE9" s="48">
        <v>691</v>
      </c>
      <c r="AF9" s="49">
        <v>93.88586956521739</v>
      </c>
      <c r="AG9" s="48">
        <v>736</v>
      </c>
      <c r="AH9" s="114" t="s">
        <v>2645</v>
      </c>
      <c r="AI9" s="114" t="s">
        <v>2742</v>
      </c>
    </row>
    <row r="10" spans="1:35" ht="14.25" customHeight="1">
      <c r="A10" s="79" t="s">
        <v>1714</v>
      </c>
      <c r="B10" s="66" t="s">
        <v>1724</v>
      </c>
      <c r="C10" s="66" t="s">
        <v>56</v>
      </c>
      <c r="D10" s="108"/>
      <c r="E10" s="107"/>
      <c r="F10" s="109" t="s">
        <v>2759</v>
      </c>
      <c r="G10" s="110"/>
      <c r="H10" s="110"/>
      <c r="I10" s="111">
        <v>10</v>
      </c>
      <c r="J10" s="112"/>
      <c r="K10" s="48">
        <v>21</v>
      </c>
      <c r="L10" s="48">
        <v>20</v>
      </c>
      <c r="M10" s="48">
        <v>0</v>
      </c>
      <c r="N10" s="48">
        <v>20</v>
      </c>
      <c r="O10" s="48">
        <v>0</v>
      </c>
      <c r="P10" s="49">
        <v>0</v>
      </c>
      <c r="Q10" s="49">
        <v>0</v>
      </c>
      <c r="R10" s="48">
        <v>1</v>
      </c>
      <c r="S10" s="48">
        <v>0</v>
      </c>
      <c r="T10" s="48">
        <v>21</v>
      </c>
      <c r="U10" s="48">
        <v>20</v>
      </c>
      <c r="V10" s="48">
        <v>2</v>
      </c>
      <c r="W10" s="49">
        <v>1.814059</v>
      </c>
      <c r="X10" s="49">
        <v>0.047619047619047616</v>
      </c>
      <c r="Y10" s="48">
        <v>3</v>
      </c>
      <c r="Z10" s="49">
        <v>0.8695652173913043</v>
      </c>
      <c r="AA10" s="48">
        <v>13</v>
      </c>
      <c r="AB10" s="49">
        <v>3.7681159420289854</v>
      </c>
      <c r="AC10" s="48">
        <v>0</v>
      </c>
      <c r="AD10" s="49">
        <v>0</v>
      </c>
      <c r="AE10" s="48">
        <v>329</v>
      </c>
      <c r="AF10" s="49">
        <v>95.3623188405797</v>
      </c>
      <c r="AG10" s="48">
        <v>345</v>
      </c>
      <c r="AH10" s="114" t="s">
        <v>2646</v>
      </c>
      <c r="AI10" s="114" t="s">
        <v>2743</v>
      </c>
    </row>
    <row r="11" spans="1:35" ht="15">
      <c r="A11" s="79" t="s">
        <v>1715</v>
      </c>
      <c r="B11" s="66" t="s">
        <v>1725</v>
      </c>
      <c r="C11" s="66" t="s">
        <v>56</v>
      </c>
      <c r="D11" s="108"/>
      <c r="E11" s="107"/>
      <c r="F11" s="109" t="s">
        <v>2760</v>
      </c>
      <c r="G11" s="110"/>
      <c r="H11" s="110"/>
      <c r="I11" s="111">
        <v>11</v>
      </c>
      <c r="J11" s="112"/>
      <c r="K11" s="48">
        <v>21</v>
      </c>
      <c r="L11" s="48">
        <v>20</v>
      </c>
      <c r="M11" s="48">
        <v>0</v>
      </c>
      <c r="N11" s="48">
        <v>20</v>
      </c>
      <c r="O11" s="48">
        <v>0</v>
      </c>
      <c r="P11" s="49">
        <v>0</v>
      </c>
      <c r="Q11" s="49">
        <v>0</v>
      </c>
      <c r="R11" s="48">
        <v>1</v>
      </c>
      <c r="S11" s="48">
        <v>0</v>
      </c>
      <c r="T11" s="48">
        <v>21</v>
      </c>
      <c r="U11" s="48">
        <v>20</v>
      </c>
      <c r="V11" s="48">
        <v>2</v>
      </c>
      <c r="W11" s="49">
        <v>1.814059</v>
      </c>
      <c r="X11" s="49">
        <v>0.047619047619047616</v>
      </c>
      <c r="Y11" s="48">
        <v>34</v>
      </c>
      <c r="Z11" s="49">
        <v>4.381443298969073</v>
      </c>
      <c r="AA11" s="48">
        <v>78</v>
      </c>
      <c r="AB11" s="49">
        <v>10.051546391752577</v>
      </c>
      <c r="AC11" s="48">
        <v>0</v>
      </c>
      <c r="AD11" s="49">
        <v>0</v>
      </c>
      <c r="AE11" s="48">
        <v>664</v>
      </c>
      <c r="AF11" s="49">
        <v>85.56701030927834</v>
      </c>
      <c r="AG11" s="48">
        <v>776</v>
      </c>
      <c r="AH11" s="114" t="s">
        <v>2647</v>
      </c>
      <c r="AI11" s="114" t="s">
        <v>2744</v>
      </c>
    </row>
    <row r="12" spans="1:35" ht="15">
      <c r="A12" s="79" t="s">
        <v>1716</v>
      </c>
      <c r="B12" s="66" t="s">
        <v>1726</v>
      </c>
      <c r="C12" s="66" t="s">
        <v>56</v>
      </c>
      <c r="D12" s="108"/>
      <c r="E12" s="107"/>
      <c r="F12" s="109" t="s">
        <v>2761</v>
      </c>
      <c r="G12" s="110"/>
      <c r="H12" s="110"/>
      <c r="I12" s="111">
        <v>12</v>
      </c>
      <c r="J12" s="112"/>
      <c r="K12" s="48">
        <v>17</v>
      </c>
      <c r="L12" s="48">
        <v>16</v>
      </c>
      <c r="M12" s="48">
        <v>0</v>
      </c>
      <c r="N12" s="48">
        <v>16</v>
      </c>
      <c r="O12" s="48">
        <v>0</v>
      </c>
      <c r="P12" s="49">
        <v>0</v>
      </c>
      <c r="Q12" s="49">
        <v>0</v>
      </c>
      <c r="R12" s="48">
        <v>1</v>
      </c>
      <c r="S12" s="48">
        <v>0</v>
      </c>
      <c r="T12" s="48">
        <v>17</v>
      </c>
      <c r="U12" s="48">
        <v>16</v>
      </c>
      <c r="V12" s="48">
        <v>2</v>
      </c>
      <c r="W12" s="49">
        <v>1.771626</v>
      </c>
      <c r="X12" s="49">
        <v>0.058823529411764705</v>
      </c>
      <c r="Y12" s="48">
        <v>16</v>
      </c>
      <c r="Z12" s="49">
        <v>2.7303754266211606</v>
      </c>
      <c r="AA12" s="48">
        <v>12</v>
      </c>
      <c r="AB12" s="49">
        <v>2.04778156996587</v>
      </c>
      <c r="AC12" s="48">
        <v>0</v>
      </c>
      <c r="AD12" s="49">
        <v>0</v>
      </c>
      <c r="AE12" s="48">
        <v>558</v>
      </c>
      <c r="AF12" s="49">
        <v>95.22184300341297</v>
      </c>
      <c r="AG12" s="48">
        <v>586</v>
      </c>
      <c r="AH12" s="114" t="s">
        <v>2648</v>
      </c>
      <c r="AI12" s="114" t="s">
        <v>2745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8" t="s">
        <v>1707</v>
      </c>
      <c r="B2" s="114" t="s">
        <v>230</v>
      </c>
      <c r="C2" s="88">
        <f>VLOOKUP(GroupVertices[[#This Row],[Vertex]],Vertices[],MATCH("ID",Vertices[[#Headers],[Vertex]:[Top Word Pairs in Tags by Salience]],0),FALSE)</f>
        <v>158</v>
      </c>
    </row>
    <row r="3" spans="1:3" ht="15">
      <c r="A3" s="88" t="s">
        <v>1707</v>
      </c>
      <c r="B3" s="114" t="s">
        <v>435</v>
      </c>
      <c r="C3" s="88">
        <f>VLOOKUP(GroupVertices[[#This Row],[Vertex]],Vertices[],MATCH("ID",Vertices[[#Headers],[Vertex]:[Top Word Pairs in Tags by Salience]],0),FALSE)</f>
        <v>222</v>
      </c>
    </row>
    <row r="4" spans="1:3" ht="15">
      <c r="A4" s="88" t="s">
        <v>1707</v>
      </c>
      <c r="B4" s="114" t="s">
        <v>434</v>
      </c>
      <c r="C4" s="88">
        <f>VLOOKUP(GroupVertices[[#This Row],[Vertex]],Vertices[],MATCH("ID",Vertices[[#Headers],[Vertex]:[Top Word Pairs in Tags by Salience]],0),FALSE)</f>
        <v>221</v>
      </c>
    </row>
    <row r="5" spans="1:3" ht="15">
      <c r="A5" s="88" t="s">
        <v>1707</v>
      </c>
      <c r="B5" s="114" t="s">
        <v>433</v>
      </c>
      <c r="C5" s="88">
        <f>VLOOKUP(GroupVertices[[#This Row],[Vertex]],Vertices[],MATCH("ID",Vertices[[#Headers],[Vertex]:[Top Word Pairs in Tags by Salience]],0),FALSE)</f>
        <v>220</v>
      </c>
    </row>
    <row r="6" spans="1:3" ht="15">
      <c r="A6" s="88" t="s">
        <v>1707</v>
      </c>
      <c r="B6" s="114" t="s">
        <v>432</v>
      </c>
      <c r="C6" s="88">
        <f>VLOOKUP(GroupVertices[[#This Row],[Vertex]],Vertices[],MATCH("ID",Vertices[[#Headers],[Vertex]:[Top Word Pairs in Tags by Salience]],0),FALSE)</f>
        <v>219</v>
      </c>
    </row>
    <row r="7" spans="1:3" ht="15">
      <c r="A7" s="88" t="s">
        <v>1707</v>
      </c>
      <c r="B7" s="114" t="s">
        <v>431</v>
      </c>
      <c r="C7" s="88">
        <f>VLOOKUP(GroupVertices[[#This Row],[Vertex]],Vertices[],MATCH("ID",Vertices[[#Headers],[Vertex]:[Top Word Pairs in Tags by Salience]],0),FALSE)</f>
        <v>218</v>
      </c>
    </row>
    <row r="8" spans="1:3" ht="15">
      <c r="A8" s="88" t="s">
        <v>1707</v>
      </c>
      <c r="B8" s="114" t="s">
        <v>430</v>
      </c>
      <c r="C8" s="88">
        <f>VLOOKUP(GroupVertices[[#This Row],[Vertex]],Vertices[],MATCH("ID",Vertices[[#Headers],[Vertex]:[Top Word Pairs in Tags by Salience]],0),FALSE)</f>
        <v>217</v>
      </c>
    </row>
    <row r="9" spans="1:3" ht="15">
      <c r="A9" s="88" t="s">
        <v>1707</v>
      </c>
      <c r="B9" s="114" t="s">
        <v>429</v>
      </c>
      <c r="C9" s="88">
        <f>VLOOKUP(GroupVertices[[#This Row],[Vertex]],Vertices[],MATCH("ID",Vertices[[#Headers],[Vertex]:[Top Word Pairs in Tags by Salience]],0),FALSE)</f>
        <v>216</v>
      </c>
    </row>
    <row r="10" spans="1:3" ht="15">
      <c r="A10" s="88" t="s">
        <v>1707</v>
      </c>
      <c r="B10" s="114" t="s">
        <v>428</v>
      </c>
      <c r="C10" s="88">
        <f>VLOOKUP(GroupVertices[[#This Row],[Vertex]],Vertices[],MATCH("ID",Vertices[[#Headers],[Vertex]:[Top Word Pairs in Tags by Salience]],0),FALSE)</f>
        <v>215</v>
      </c>
    </row>
    <row r="11" spans="1:3" ht="15">
      <c r="A11" s="88" t="s">
        <v>1707</v>
      </c>
      <c r="B11" s="114" t="s">
        <v>427</v>
      </c>
      <c r="C11" s="88">
        <f>VLOOKUP(GroupVertices[[#This Row],[Vertex]],Vertices[],MATCH("ID",Vertices[[#Headers],[Vertex]:[Top Word Pairs in Tags by Salience]],0),FALSE)</f>
        <v>214</v>
      </c>
    </row>
    <row r="12" spans="1:3" ht="15">
      <c r="A12" s="88" t="s">
        <v>1707</v>
      </c>
      <c r="B12" s="114" t="s">
        <v>426</v>
      </c>
      <c r="C12" s="88">
        <f>VLOOKUP(GroupVertices[[#This Row],[Vertex]],Vertices[],MATCH("ID",Vertices[[#Headers],[Vertex]:[Top Word Pairs in Tags by Salience]],0),FALSE)</f>
        <v>213</v>
      </c>
    </row>
    <row r="13" spans="1:3" ht="15">
      <c r="A13" s="88" t="s">
        <v>1707</v>
      </c>
      <c r="B13" s="114" t="s">
        <v>425</v>
      </c>
      <c r="C13" s="88">
        <f>VLOOKUP(GroupVertices[[#This Row],[Vertex]],Vertices[],MATCH("ID",Vertices[[#Headers],[Vertex]:[Top Word Pairs in Tags by Salience]],0),FALSE)</f>
        <v>212</v>
      </c>
    </row>
    <row r="14" spans="1:3" ht="15">
      <c r="A14" s="88" t="s">
        <v>1707</v>
      </c>
      <c r="B14" s="114" t="s">
        <v>229</v>
      </c>
      <c r="C14" s="88">
        <f>VLOOKUP(GroupVertices[[#This Row],[Vertex]],Vertices[],MATCH("ID",Vertices[[#Headers],[Vertex]:[Top Word Pairs in Tags by Salience]],0),FALSE)</f>
        <v>205</v>
      </c>
    </row>
    <row r="15" spans="1:3" ht="15">
      <c r="A15" s="88" t="s">
        <v>1707</v>
      </c>
      <c r="B15" s="114" t="s">
        <v>424</v>
      </c>
      <c r="C15" s="88">
        <f>VLOOKUP(GroupVertices[[#This Row],[Vertex]],Vertices[],MATCH("ID",Vertices[[#Headers],[Vertex]:[Top Word Pairs in Tags by Salience]],0),FALSE)</f>
        <v>211</v>
      </c>
    </row>
    <row r="16" spans="1:3" ht="15">
      <c r="A16" s="88" t="s">
        <v>1707</v>
      </c>
      <c r="B16" s="114" t="s">
        <v>423</v>
      </c>
      <c r="C16" s="88">
        <f>VLOOKUP(GroupVertices[[#This Row],[Vertex]],Vertices[],MATCH("ID",Vertices[[#Headers],[Vertex]:[Top Word Pairs in Tags by Salience]],0),FALSE)</f>
        <v>210</v>
      </c>
    </row>
    <row r="17" spans="1:3" ht="15">
      <c r="A17" s="88" t="s">
        <v>1707</v>
      </c>
      <c r="B17" s="114" t="s">
        <v>422</v>
      </c>
      <c r="C17" s="88">
        <f>VLOOKUP(GroupVertices[[#This Row],[Vertex]],Vertices[],MATCH("ID",Vertices[[#Headers],[Vertex]:[Top Word Pairs in Tags by Salience]],0),FALSE)</f>
        <v>209</v>
      </c>
    </row>
    <row r="18" spans="1:3" ht="15">
      <c r="A18" s="88" t="s">
        <v>1707</v>
      </c>
      <c r="B18" s="114" t="s">
        <v>421</v>
      </c>
      <c r="C18" s="88">
        <f>VLOOKUP(GroupVertices[[#This Row],[Vertex]],Vertices[],MATCH("ID",Vertices[[#Headers],[Vertex]:[Top Word Pairs in Tags by Salience]],0),FALSE)</f>
        <v>208</v>
      </c>
    </row>
    <row r="19" spans="1:3" ht="15">
      <c r="A19" s="88" t="s">
        <v>1707</v>
      </c>
      <c r="B19" s="114" t="s">
        <v>420</v>
      </c>
      <c r="C19" s="88">
        <f>VLOOKUP(GroupVertices[[#This Row],[Vertex]],Vertices[],MATCH("ID",Vertices[[#Headers],[Vertex]:[Top Word Pairs in Tags by Salience]],0),FALSE)</f>
        <v>207</v>
      </c>
    </row>
    <row r="20" spans="1:3" ht="15">
      <c r="A20" s="88" t="s">
        <v>1707</v>
      </c>
      <c r="B20" s="114" t="s">
        <v>419</v>
      </c>
      <c r="C20" s="88">
        <f>VLOOKUP(GroupVertices[[#This Row],[Vertex]],Vertices[],MATCH("ID",Vertices[[#Headers],[Vertex]:[Top Word Pairs in Tags by Salience]],0),FALSE)</f>
        <v>206</v>
      </c>
    </row>
    <row r="21" spans="1:3" ht="15">
      <c r="A21" s="88" t="s">
        <v>1707</v>
      </c>
      <c r="B21" s="114" t="s">
        <v>381</v>
      </c>
      <c r="C21" s="88">
        <f>VLOOKUP(GroupVertices[[#This Row],[Vertex]],Vertices[],MATCH("ID",Vertices[[#Headers],[Vertex]:[Top Word Pairs in Tags by Salience]],0),FALSE)</f>
        <v>166</v>
      </c>
    </row>
    <row r="22" spans="1:3" ht="15">
      <c r="A22" s="88" t="s">
        <v>1707</v>
      </c>
      <c r="B22" s="114" t="s">
        <v>309</v>
      </c>
      <c r="C22" s="88">
        <f>VLOOKUP(GroupVertices[[#This Row],[Vertex]],Vertices[],MATCH("ID",Vertices[[#Headers],[Vertex]:[Top Word Pairs in Tags by Salience]],0),FALSE)</f>
        <v>85</v>
      </c>
    </row>
    <row r="23" spans="1:3" ht="15">
      <c r="A23" s="88" t="s">
        <v>1707</v>
      </c>
      <c r="B23" s="114" t="s">
        <v>370</v>
      </c>
      <c r="C23" s="88">
        <f>VLOOKUP(GroupVertices[[#This Row],[Vertex]],Vertices[],MATCH("ID",Vertices[[#Headers],[Vertex]:[Top Word Pairs in Tags by Salience]],0),FALSE)</f>
        <v>153</v>
      </c>
    </row>
    <row r="24" spans="1:3" ht="15">
      <c r="A24" s="88" t="s">
        <v>1707</v>
      </c>
      <c r="B24" s="114" t="s">
        <v>368</v>
      </c>
      <c r="C24" s="88">
        <f>VLOOKUP(GroupVertices[[#This Row],[Vertex]],Vertices[],MATCH("ID",Vertices[[#Headers],[Vertex]:[Top Word Pairs in Tags by Salience]],0),FALSE)</f>
        <v>150</v>
      </c>
    </row>
    <row r="25" spans="1:3" ht="15">
      <c r="A25" s="88" t="s">
        <v>1707</v>
      </c>
      <c r="B25" s="114" t="s">
        <v>398</v>
      </c>
      <c r="C25" s="88">
        <f>VLOOKUP(GroupVertices[[#This Row],[Vertex]],Vertices[],MATCH("ID",Vertices[[#Headers],[Vertex]:[Top Word Pairs in Tags by Salience]],0),FALSE)</f>
        <v>184</v>
      </c>
    </row>
    <row r="26" spans="1:3" ht="15">
      <c r="A26" s="88" t="s">
        <v>1707</v>
      </c>
      <c r="B26" s="114" t="s">
        <v>371</v>
      </c>
      <c r="C26" s="88">
        <f>VLOOKUP(GroupVertices[[#This Row],[Vertex]],Vertices[],MATCH("ID",Vertices[[#Headers],[Vertex]:[Top Word Pairs in Tags by Salience]],0),FALSE)</f>
        <v>154</v>
      </c>
    </row>
    <row r="27" spans="1:3" ht="15">
      <c r="A27" s="88" t="s">
        <v>1707</v>
      </c>
      <c r="B27" s="114" t="s">
        <v>256</v>
      </c>
      <c r="C27" s="88">
        <f>VLOOKUP(GroupVertices[[#This Row],[Vertex]],Vertices[],MATCH("ID",Vertices[[#Headers],[Vertex]:[Top Word Pairs in Tags by Salience]],0),FALSE)</f>
        <v>30</v>
      </c>
    </row>
    <row r="28" spans="1:3" ht="15">
      <c r="A28" s="88" t="s">
        <v>1707</v>
      </c>
      <c r="B28" s="114" t="s">
        <v>367</v>
      </c>
      <c r="C28" s="88">
        <f>VLOOKUP(GroupVertices[[#This Row],[Vertex]],Vertices[],MATCH("ID",Vertices[[#Headers],[Vertex]:[Top Word Pairs in Tags by Salience]],0),FALSE)</f>
        <v>149</v>
      </c>
    </row>
    <row r="29" spans="1:3" ht="15">
      <c r="A29" s="88" t="s">
        <v>1707</v>
      </c>
      <c r="B29" s="114" t="s">
        <v>226</v>
      </c>
      <c r="C29" s="88">
        <f>VLOOKUP(GroupVertices[[#This Row],[Vertex]],Vertices[],MATCH("ID",Vertices[[#Headers],[Vertex]:[Top Word Pairs in Tags by Salience]],0),FALSE)</f>
        <v>155</v>
      </c>
    </row>
    <row r="30" spans="1:3" ht="15">
      <c r="A30" s="88" t="s">
        <v>1707</v>
      </c>
      <c r="B30" s="114" t="s">
        <v>380</v>
      </c>
      <c r="C30" s="88">
        <f>VLOOKUP(GroupVertices[[#This Row],[Vertex]],Vertices[],MATCH("ID",Vertices[[#Headers],[Vertex]:[Top Word Pairs in Tags by Salience]],0),FALSE)</f>
        <v>165</v>
      </c>
    </row>
    <row r="31" spans="1:3" ht="15">
      <c r="A31" s="88" t="s">
        <v>1707</v>
      </c>
      <c r="B31" s="114" t="s">
        <v>379</v>
      </c>
      <c r="C31" s="88">
        <f>VLOOKUP(GroupVertices[[#This Row],[Vertex]],Vertices[],MATCH("ID",Vertices[[#Headers],[Vertex]:[Top Word Pairs in Tags by Salience]],0),FALSE)</f>
        <v>164</v>
      </c>
    </row>
    <row r="32" spans="1:3" ht="15">
      <c r="A32" s="88" t="s">
        <v>1707</v>
      </c>
      <c r="B32" s="114" t="s">
        <v>378</v>
      </c>
      <c r="C32" s="88">
        <f>VLOOKUP(GroupVertices[[#This Row],[Vertex]],Vertices[],MATCH("ID",Vertices[[#Headers],[Vertex]:[Top Word Pairs in Tags by Salience]],0),FALSE)</f>
        <v>163</v>
      </c>
    </row>
    <row r="33" spans="1:3" ht="15">
      <c r="A33" s="88" t="s">
        <v>1707</v>
      </c>
      <c r="B33" s="114" t="s">
        <v>377</v>
      </c>
      <c r="C33" s="88">
        <f>VLOOKUP(GroupVertices[[#This Row],[Vertex]],Vertices[],MATCH("ID",Vertices[[#Headers],[Vertex]:[Top Word Pairs in Tags by Salience]],0),FALSE)</f>
        <v>162</v>
      </c>
    </row>
    <row r="34" spans="1:3" ht="15">
      <c r="A34" s="88" t="s">
        <v>1707</v>
      </c>
      <c r="B34" s="114" t="s">
        <v>376</v>
      </c>
      <c r="C34" s="88">
        <f>VLOOKUP(GroupVertices[[#This Row],[Vertex]],Vertices[],MATCH("ID",Vertices[[#Headers],[Vertex]:[Top Word Pairs in Tags by Salience]],0),FALSE)</f>
        <v>161</v>
      </c>
    </row>
    <row r="35" spans="1:3" ht="15">
      <c r="A35" s="88" t="s">
        <v>1707</v>
      </c>
      <c r="B35" s="114" t="s">
        <v>375</v>
      </c>
      <c r="C35" s="88">
        <f>VLOOKUP(GroupVertices[[#This Row],[Vertex]],Vertices[],MATCH("ID",Vertices[[#Headers],[Vertex]:[Top Word Pairs in Tags by Salience]],0),FALSE)</f>
        <v>160</v>
      </c>
    </row>
    <row r="36" spans="1:3" ht="15">
      <c r="A36" s="88" t="s">
        <v>1707</v>
      </c>
      <c r="B36" s="114" t="s">
        <v>374</v>
      </c>
      <c r="C36" s="88">
        <f>VLOOKUP(GroupVertices[[#This Row],[Vertex]],Vertices[],MATCH("ID",Vertices[[#Headers],[Vertex]:[Top Word Pairs in Tags by Salience]],0),FALSE)</f>
        <v>159</v>
      </c>
    </row>
    <row r="37" spans="1:3" ht="15">
      <c r="A37" s="88" t="s">
        <v>1707</v>
      </c>
      <c r="B37" s="114" t="s">
        <v>352</v>
      </c>
      <c r="C37" s="88">
        <f>VLOOKUP(GroupVertices[[#This Row],[Vertex]],Vertices[],MATCH("ID",Vertices[[#Headers],[Vertex]:[Top Word Pairs in Tags by Salience]],0),FALSE)</f>
        <v>133</v>
      </c>
    </row>
    <row r="38" spans="1:3" ht="15">
      <c r="A38" s="88" t="s">
        <v>1707</v>
      </c>
      <c r="B38" s="114" t="s">
        <v>373</v>
      </c>
      <c r="C38" s="88">
        <f>VLOOKUP(GroupVertices[[#This Row],[Vertex]],Vertices[],MATCH("ID",Vertices[[#Headers],[Vertex]:[Top Word Pairs in Tags by Salience]],0),FALSE)</f>
        <v>157</v>
      </c>
    </row>
    <row r="39" spans="1:3" ht="15">
      <c r="A39" s="88" t="s">
        <v>1707</v>
      </c>
      <c r="B39" s="114" t="s">
        <v>372</v>
      </c>
      <c r="C39" s="88">
        <f>VLOOKUP(GroupVertices[[#This Row],[Vertex]],Vertices[],MATCH("ID",Vertices[[#Headers],[Vertex]:[Top Word Pairs in Tags by Salience]],0),FALSE)</f>
        <v>156</v>
      </c>
    </row>
    <row r="40" spans="1:3" ht="15">
      <c r="A40" s="88" t="s">
        <v>1707</v>
      </c>
      <c r="B40" s="114" t="s">
        <v>225</v>
      </c>
      <c r="C40" s="88">
        <f>VLOOKUP(GroupVertices[[#This Row],[Vertex]],Vertices[],MATCH("ID",Vertices[[#Headers],[Vertex]:[Top Word Pairs in Tags by Salience]],0),FALSE)</f>
        <v>139</v>
      </c>
    </row>
    <row r="41" spans="1:3" ht="15">
      <c r="A41" s="88" t="s">
        <v>1707</v>
      </c>
      <c r="B41" s="114" t="s">
        <v>369</v>
      </c>
      <c r="C41" s="88">
        <f>VLOOKUP(GroupVertices[[#This Row],[Vertex]],Vertices[],MATCH("ID",Vertices[[#Headers],[Vertex]:[Top Word Pairs in Tags by Salience]],0),FALSE)</f>
        <v>152</v>
      </c>
    </row>
    <row r="42" spans="1:3" ht="15">
      <c r="A42" s="88" t="s">
        <v>1707</v>
      </c>
      <c r="B42" s="114" t="s">
        <v>366</v>
      </c>
      <c r="C42" s="88">
        <f>VLOOKUP(GroupVertices[[#This Row],[Vertex]],Vertices[],MATCH("ID",Vertices[[#Headers],[Vertex]:[Top Word Pairs in Tags by Salience]],0),FALSE)</f>
        <v>148</v>
      </c>
    </row>
    <row r="43" spans="1:3" ht="15">
      <c r="A43" s="88" t="s">
        <v>1707</v>
      </c>
      <c r="B43" s="114" t="s">
        <v>365</v>
      </c>
      <c r="C43" s="88">
        <f>VLOOKUP(GroupVertices[[#This Row],[Vertex]],Vertices[],MATCH("ID",Vertices[[#Headers],[Vertex]:[Top Word Pairs in Tags by Salience]],0),FALSE)</f>
        <v>147</v>
      </c>
    </row>
    <row r="44" spans="1:3" ht="15">
      <c r="A44" s="88" t="s">
        <v>1707</v>
      </c>
      <c r="B44" s="114" t="s">
        <v>364</v>
      </c>
      <c r="C44" s="88">
        <f>VLOOKUP(GroupVertices[[#This Row],[Vertex]],Vertices[],MATCH("ID",Vertices[[#Headers],[Vertex]:[Top Word Pairs in Tags by Salience]],0),FALSE)</f>
        <v>146</v>
      </c>
    </row>
    <row r="45" spans="1:3" ht="15">
      <c r="A45" s="88" t="s">
        <v>1707</v>
      </c>
      <c r="B45" s="114" t="s">
        <v>363</v>
      </c>
      <c r="C45" s="88">
        <f>VLOOKUP(GroupVertices[[#This Row],[Vertex]],Vertices[],MATCH("ID",Vertices[[#Headers],[Vertex]:[Top Word Pairs in Tags by Salience]],0),FALSE)</f>
        <v>145</v>
      </c>
    </row>
    <row r="46" spans="1:3" ht="15">
      <c r="A46" s="88" t="s">
        <v>1707</v>
      </c>
      <c r="B46" s="114" t="s">
        <v>362</v>
      </c>
      <c r="C46" s="88">
        <f>VLOOKUP(GroupVertices[[#This Row],[Vertex]],Vertices[],MATCH("ID",Vertices[[#Headers],[Vertex]:[Top Word Pairs in Tags by Salience]],0),FALSE)</f>
        <v>144</v>
      </c>
    </row>
    <row r="47" spans="1:3" ht="15">
      <c r="A47" s="88" t="s">
        <v>1707</v>
      </c>
      <c r="B47" s="114" t="s">
        <v>361</v>
      </c>
      <c r="C47" s="88">
        <f>VLOOKUP(GroupVertices[[#This Row],[Vertex]],Vertices[],MATCH("ID",Vertices[[#Headers],[Vertex]:[Top Word Pairs in Tags by Salience]],0),FALSE)</f>
        <v>143</v>
      </c>
    </row>
    <row r="48" spans="1:3" ht="15">
      <c r="A48" s="88" t="s">
        <v>1707</v>
      </c>
      <c r="B48" s="114" t="s">
        <v>360</v>
      </c>
      <c r="C48" s="88">
        <f>VLOOKUP(GroupVertices[[#This Row],[Vertex]],Vertices[],MATCH("ID",Vertices[[#Headers],[Vertex]:[Top Word Pairs in Tags by Salience]],0),FALSE)</f>
        <v>142</v>
      </c>
    </row>
    <row r="49" spans="1:3" ht="15">
      <c r="A49" s="88" t="s">
        <v>1707</v>
      </c>
      <c r="B49" s="114" t="s">
        <v>359</v>
      </c>
      <c r="C49" s="88">
        <f>VLOOKUP(GroupVertices[[#This Row],[Vertex]],Vertices[],MATCH("ID",Vertices[[#Headers],[Vertex]:[Top Word Pairs in Tags by Salience]],0),FALSE)</f>
        <v>141</v>
      </c>
    </row>
    <row r="50" spans="1:3" ht="15">
      <c r="A50" s="88" t="s">
        <v>1707</v>
      </c>
      <c r="B50" s="114" t="s">
        <v>358</v>
      </c>
      <c r="C50" s="88">
        <f>VLOOKUP(GroupVertices[[#This Row],[Vertex]],Vertices[],MATCH("ID",Vertices[[#Headers],[Vertex]:[Top Word Pairs in Tags by Salience]],0),FALSE)</f>
        <v>140</v>
      </c>
    </row>
    <row r="51" spans="1:3" ht="15">
      <c r="A51" s="88" t="s">
        <v>1708</v>
      </c>
      <c r="B51" s="114" t="s">
        <v>319</v>
      </c>
      <c r="C51" s="88">
        <f>VLOOKUP(GroupVertices[[#This Row],[Vertex]],Vertices[],MATCH("ID",Vertices[[#Headers],[Vertex]:[Top Word Pairs in Tags by Salience]],0),FALSE)</f>
        <v>98</v>
      </c>
    </row>
    <row r="52" spans="1:3" ht="15">
      <c r="A52" s="88" t="s">
        <v>1708</v>
      </c>
      <c r="B52" s="114" t="s">
        <v>262</v>
      </c>
      <c r="C52" s="88">
        <f>VLOOKUP(GroupVertices[[#This Row],[Vertex]],Vertices[],MATCH("ID",Vertices[[#Headers],[Vertex]:[Top Word Pairs in Tags by Salience]],0),FALSE)</f>
        <v>36</v>
      </c>
    </row>
    <row r="53" spans="1:3" ht="15">
      <c r="A53" s="88" t="s">
        <v>1708</v>
      </c>
      <c r="B53" s="114" t="s">
        <v>315</v>
      </c>
      <c r="C53" s="88">
        <f>VLOOKUP(GroupVertices[[#This Row],[Vertex]],Vertices[],MATCH("ID",Vertices[[#Headers],[Vertex]:[Top Word Pairs in Tags by Salience]],0),FALSE)</f>
        <v>91</v>
      </c>
    </row>
    <row r="54" spans="1:3" ht="15">
      <c r="A54" s="88" t="s">
        <v>1708</v>
      </c>
      <c r="B54" s="114" t="s">
        <v>257</v>
      </c>
      <c r="C54" s="88">
        <f>VLOOKUP(GroupVertices[[#This Row],[Vertex]],Vertices[],MATCH("ID",Vertices[[#Headers],[Vertex]:[Top Word Pairs in Tags by Salience]],0),FALSE)</f>
        <v>31</v>
      </c>
    </row>
    <row r="55" spans="1:3" ht="15">
      <c r="A55" s="88" t="s">
        <v>1708</v>
      </c>
      <c r="B55" s="114" t="s">
        <v>322</v>
      </c>
      <c r="C55" s="88">
        <f>VLOOKUP(GroupVertices[[#This Row],[Vertex]],Vertices[],MATCH("ID",Vertices[[#Headers],[Vertex]:[Top Word Pairs in Tags by Salience]],0),FALSE)</f>
        <v>101</v>
      </c>
    </row>
    <row r="56" spans="1:3" ht="15">
      <c r="A56" s="88" t="s">
        <v>1708</v>
      </c>
      <c r="B56" s="114" t="s">
        <v>222</v>
      </c>
      <c r="C56" s="88">
        <f>VLOOKUP(GroupVertices[[#This Row],[Vertex]],Vertices[],MATCH("ID",Vertices[[#Headers],[Vertex]:[Top Word Pairs in Tags by Salience]],0),FALSE)</f>
        <v>97</v>
      </c>
    </row>
    <row r="57" spans="1:3" ht="15">
      <c r="A57" s="88" t="s">
        <v>1708</v>
      </c>
      <c r="B57" s="114" t="s">
        <v>224</v>
      </c>
      <c r="C57" s="88">
        <f>VLOOKUP(GroupVertices[[#This Row],[Vertex]],Vertices[],MATCH("ID",Vertices[[#Headers],[Vertex]:[Top Word Pairs in Tags by Salience]],0),FALSE)</f>
        <v>96</v>
      </c>
    </row>
    <row r="58" spans="1:3" ht="15">
      <c r="A58" s="88" t="s">
        <v>1708</v>
      </c>
      <c r="B58" s="114" t="s">
        <v>259</v>
      </c>
      <c r="C58" s="88">
        <f>VLOOKUP(GroupVertices[[#This Row],[Vertex]],Vertices[],MATCH("ID",Vertices[[#Headers],[Vertex]:[Top Word Pairs in Tags by Salience]],0),FALSE)</f>
        <v>33</v>
      </c>
    </row>
    <row r="59" spans="1:3" ht="15">
      <c r="A59" s="88" t="s">
        <v>1708</v>
      </c>
      <c r="B59" s="114" t="s">
        <v>266</v>
      </c>
      <c r="C59" s="88">
        <f>VLOOKUP(GroupVertices[[#This Row],[Vertex]],Vertices[],MATCH("ID",Vertices[[#Headers],[Vertex]:[Top Word Pairs in Tags by Salience]],0),FALSE)</f>
        <v>40</v>
      </c>
    </row>
    <row r="60" spans="1:3" ht="15">
      <c r="A60" s="88" t="s">
        <v>1708</v>
      </c>
      <c r="B60" s="114" t="s">
        <v>337</v>
      </c>
      <c r="C60" s="88">
        <f>VLOOKUP(GroupVertices[[#This Row],[Vertex]],Vertices[],MATCH("ID",Vertices[[#Headers],[Vertex]:[Top Word Pairs in Tags by Salience]],0),FALSE)</f>
        <v>117</v>
      </c>
    </row>
    <row r="61" spans="1:3" ht="15">
      <c r="A61" s="88" t="s">
        <v>1708</v>
      </c>
      <c r="B61" s="114" t="s">
        <v>357</v>
      </c>
      <c r="C61" s="88">
        <f>VLOOKUP(GroupVertices[[#This Row],[Vertex]],Vertices[],MATCH("ID",Vertices[[#Headers],[Vertex]:[Top Word Pairs in Tags by Salience]],0),FALSE)</f>
        <v>138</v>
      </c>
    </row>
    <row r="62" spans="1:3" ht="15">
      <c r="A62" s="88" t="s">
        <v>1708</v>
      </c>
      <c r="B62" s="114" t="s">
        <v>356</v>
      </c>
      <c r="C62" s="88">
        <f>VLOOKUP(GroupVertices[[#This Row],[Vertex]],Vertices[],MATCH("ID",Vertices[[#Headers],[Vertex]:[Top Word Pairs in Tags by Salience]],0),FALSE)</f>
        <v>137</v>
      </c>
    </row>
    <row r="63" spans="1:3" ht="15">
      <c r="A63" s="88" t="s">
        <v>1708</v>
      </c>
      <c r="B63" s="114" t="s">
        <v>355</v>
      </c>
      <c r="C63" s="88">
        <f>VLOOKUP(GroupVertices[[#This Row],[Vertex]],Vertices[],MATCH("ID",Vertices[[#Headers],[Vertex]:[Top Word Pairs in Tags by Salience]],0),FALSE)</f>
        <v>136</v>
      </c>
    </row>
    <row r="64" spans="1:3" ht="15">
      <c r="A64" s="88" t="s">
        <v>1708</v>
      </c>
      <c r="B64" s="114" t="s">
        <v>354</v>
      </c>
      <c r="C64" s="88">
        <f>VLOOKUP(GroupVertices[[#This Row],[Vertex]],Vertices[],MATCH("ID",Vertices[[#Headers],[Vertex]:[Top Word Pairs in Tags by Salience]],0),FALSE)</f>
        <v>135</v>
      </c>
    </row>
    <row r="65" spans="1:3" ht="15">
      <c r="A65" s="88" t="s">
        <v>1708</v>
      </c>
      <c r="B65" s="114" t="s">
        <v>353</v>
      </c>
      <c r="C65" s="88">
        <f>VLOOKUP(GroupVertices[[#This Row],[Vertex]],Vertices[],MATCH("ID",Vertices[[#Headers],[Vertex]:[Top Word Pairs in Tags by Salience]],0),FALSE)</f>
        <v>134</v>
      </c>
    </row>
    <row r="66" spans="1:3" ht="15">
      <c r="A66" s="88" t="s">
        <v>1708</v>
      </c>
      <c r="B66" s="114" t="s">
        <v>223</v>
      </c>
      <c r="C66" s="88">
        <f>VLOOKUP(GroupVertices[[#This Row],[Vertex]],Vertices[],MATCH("ID",Vertices[[#Headers],[Vertex]:[Top Word Pairs in Tags by Salience]],0),FALSE)</f>
        <v>124</v>
      </c>
    </row>
    <row r="67" spans="1:3" ht="15">
      <c r="A67" s="88" t="s">
        <v>1708</v>
      </c>
      <c r="B67" s="114" t="s">
        <v>351</v>
      </c>
      <c r="C67" s="88">
        <f>VLOOKUP(GroupVertices[[#This Row],[Vertex]],Vertices[],MATCH("ID",Vertices[[#Headers],[Vertex]:[Top Word Pairs in Tags by Salience]],0),FALSE)</f>
        <v>132</v>
      </c>
    </row>
    <row r="68" spans="1:3" ht="15">
      <c r="A68" s="88" t="s">
        <v>1708</v>
      </c>
      <c r="B68" s="114" t="s">
        <v>350</v>
      </c>
      <c r="C68" s="88">
        <f>VLOOKUP(GroupVertices[[#This Row],[Vertex]],Vertices[],MATCH("ID",Vertices[[#Headers],[Vertex]:[Top Word Pairs in Tags by Salience]],0),FALSE)</f>
        <v>131</v>
      </c>
    </row>
    <row r="69" spans="1:3" ht="15">
      <c r="A69" s="88" t="s">
        <v>1708</v>
      </c>
      <c r="B69" s="114" t="s">
        <v>349</v>
      </c>
      <c r="C69" s="88">
        <f>VLOOKUP(GroupVertices[[#This Row],[Vertex]],Vertices[],MATCH("ID",Vertices[[#Headers],[Vertex]:[Top Word Pairs in Tags by Salience]],0),FALSE)</f>
        <v>130</v>
      </c>
    </row>
    <row r="70" spans="1:3" ht="15">
      <c r="A70" s="88" t="s">
        <v>1708</v>
      </c>
      <c r="B70" s="114" t="s">
        <v>348</v>
      </c>
      <c r="C70" s="88">
        <f>VLOOKUP(GroupVertices[[#This Row],[Vertex]],Vertices[],MATCH("ID",Vertices[[#Headers],[Vertex]:[Top Word Pairs in Tags by Salience]],0),FALSE)</f>
        <v>129</v>
      </c>
    </row>
    <row r="71" spans="1:3" ht="15">
      <c r="A71" s="88" t="s">
        <v>1708</v>
      </c>
      <c r="B71" s="114" t="s">
        <v>347</v>
      </c>
      <c r="C71" s="88">
        <f>VLOOKUP(GroupVertices[[#This Row],[Vertex]],Vertices[],MATCH("ID",Vertices[[#Headers],[Vertex]:[Top Word Pairs in Tags by Salience]],0),FALSE)</f>
        <v>128</v>
      </c>
    </row>
    <row r="72" spans="1:3" ht="15">
      <c r="A72" s="88" t="s">
        <v>1708</v>
      </c>
      <c r="B72" s="114" t="s">
        <v>346</v>
      </c>
      <c r="C72" s="88">
        <f>VLOOKUP(GroupVertices[[#This Row],[Vertex]],Vertices[],MATCH("ID",Vertices[[#Headers],[Vertex]:[Top Word Pairs in Tags by Salience]],0),FALSE)</f>
        <v>127</v>
      </c>
    </row>
    <row r="73" spans="1:3" ht="15">
      <c r="A73" s="88" t="s">
        <v>1708</v>
      </c>
      <c r="B73" s="114" t="s">
        <v>345</v>
      </c>
      <c r="C73" s="88">
        <f>VLOOKUP(GroupVertices[[#This Row],[Vertex]],Vertices[],MATCH("ID",Vertices[[#Headers],[Vertex]:[Top Word Pairs in Tags by Salience]],0),FALSE)</f>
        <v>126</v>
      </c>
    </row>
    <row r="74" spans="1:3" ht="15">
      <c r="A74" s="88" t="s">
        <v>1708</v>
      </c>
      <c r="B74" s="114" t="s">
        <v>344</v>
      </c>
      <c r="C74" s="88">
        <f>VLOOKUP(GroupVertices[[#This Row],[Vertex]],Vertices[],MATCH("ID",Vertices[[#Headers],[Vertex]:[Top Word Pairs in Tags by Salience]],0),FALSE)</f>
        <v>125</v>
      </c>
    </row>
    <row r="75" spans="1:3" ht="15">
      <c r="A75" s="88" t="s">
        <v>1708</v>
      </c>
      <c r="B75" s="114" t="s">
        <v>310</v>
      </c>
      <c r="C75" s="88">
        <f>VLOOKUP(GroupVertices[[#This Row],[Vertex]],Vertices[],MATCH("ID",Vertices[[#Headers],[Vertex]:[Top Word Pairs in Tags by Salience]],0),FALSE)</f>
        <v>86</v>
      </c>
    </row>
    <row r="76" spans="1:3" ht="15">
      <c r="A76" s="88" t="s">
        <v>1708</v>
      </c>
      <c r="B76" s="114" t="s">
        <v>320</v>
      </c>
      <c r="C76" s="88">
        <f>VLOOKUP(GroupVertices[[#This Row],[Vertex]],Vertices[],MATCH("ID",Vertices[[#Headers],[Vertex]:[Top Word Pairs in Tags by Salience]],0),FALSE)</f>
        <v>99</v>
      </c>
    </row>
    <row r="77" spans="1:3" ht="15">
      <c r="A77" s="88" t="s">
        <v>1708</v>
      </c>
      <c r="B77" s="114" t="s">
        <v>338</v>
      </c>
      <c r="C77" s="88">
        <f>VLOOKUP(GroupVertices[[#This Row],[Vertex]],Vertices[],MATCH("ID",Vertices[[#Headers],[Vertex]:[Top Word Pairs in Tags by Salience]],0),FALSE)</f>
        <v>118</v>
      </c>
    </row>
    <row r="78" spans="1:3" ht="15">
      <c r="A78" s="88" t="s">
        <v>1708</v>
      </c>
      <c r="B78" s="114" t="s">
        <v>343</v>
      </c>
      <c r="C78" s="88">
        <f>VLOOKUP(GroupVertices[[#This Row],[Vertex]],Vertices[],MATCH("ID",Vertices[[#Headers],[Vertex]:[Top Word Pairs in Tags by Salience]],0),FALSE)</f>
        <v>123</v>
      </c>
    </row>
    <row r="79" spans="1:3" ht="15">
      <c r="A79" s="88" t="s">
        <v>1708</v>
      </c>
      <c r="B79" s="114" t="s">
        <v>342</v>
      </c>
      <c r="C79" s="88">
        <f>VLOOKUP(GroupVertices[[#This Row],[Vertex]],Vertices[],MATCH("ID",Vertices[[#Headers],[Vertex]:[Top Word Pairs in Tags by Salience]],0),FALSE)</f>
        <v>122</v>
      </c>
    </row>
    <row r="80" spans="1:3" ht="15">
      <c r="A80" s="88" t="s">
        <v>1708</v>
      </c>
      <c r="B80" s="114" t="s">
        <v>341</v>
      </c>
      <c r="C80" s="88">
        <f>VLOOKUP(GroupVertices[[#This Row],[Vertex]],Vertices[],MATCH("ID",Vertices[[#Headers],[Vertex]:[Top Word Pairs in Tags by Salience]],0),FALSE)</f>
        <v>121</v>
      </c>
    </row>
    <row r="81" spans="1:3" ht="15">
      <c r="A81" s="88" t="s">
        <v>1708</v>
      </c>
      <c r="B81" s="114" t="s">
        <v>340</v>
      </c>
      <c r="C81" s="88">
        <f>VLOOKUP(GroupVertices[[#This Row],[Vertex]],Vertices[],MATCH("ID",Vertices[[#Headers],[Vertex]:[Top Word Pairs in Tags by Salience]],0),FALSE)</f>
        <v>120</v>
      </c>
    </row>
    <row r="82" spans="1:3" ht="15">
      <c r="A82" s="88" t="s">
        <v>1708</v>
      </c>
      <c r="B82" s="114" t="s">
        <v>339</v>
      </c>
      <c r="C82" s="88">
        <f>VLOOKUP(GroupVertices[[#This Row],[Vertex]],Vertices[],MATCH("ID",Vertices[[#Headers],[Vertex]:[Top Word Pairs in Tags by Salience]],0),FALSE)</f>
        <v>119</v>
      </c>
    </row>
    <row r="83" spans="1:3" ht="15">
      <c r="A83" s="88" t="s">
        <v>1708</v>
      </c>
      <c r="B83" s="114" t="s">
        <v>221</v>
      </c>
      <c r="C83" s="88">
        <f>VLOOKUP(GroupVertices[[#This Row],[Vertex]],Vertices[],MATCH("ID",Vertices[[#Headers],[Vertex]:[Top Word Pairs in Tags by Salience]],0),FALSE)</f>
        <v>111</v>
      </c>
    </row>
    <row r="84" spans="1:3" ht="15">
      <c r="A84" s="88" t="s">
        <v>1708</v>
      </c>
      <c r="B84" s="114" t="s">
        <v>336</v>
      </c>
      <c r="C84" s="88">
        <f>VLOOKUP(GroupVertices[[#This Row],[Vertex]],Vertices[],MATCH("ID",Vertices[[#Headers],[Vertex]:[Top Word Pairs in Tags by Salience]],0),FALSE)</f>
        <v>116</v>
      </c>
    </row>
    <row r="85" spans="1:3" ht="15">
      <c r="A85" s="88" t="s">
        <v>1708</v>
      </c>
      <c r="B85" s="114" t="s">
        <v>334</v>
      </c>
      <c r="C85" s="88">
        <f>VLOOKUP(GroupVertices[[#This Row],[Vertex]],Vertices[],MATCH("ID",Vertices[[#Headers],[Vertex]:[Top Word Pairs in Tags by Salience]],0),FALSE)</f>
        <v>114</v>
      </c>
    </row>
    <row r="86" spans="1:3" ht="15">
      <c r="A86" s="88" t="s">
        <v>1708</v>
      </c>
      <c r="B86" s="114" t="s">
        <v>333</v>
      </c>
      <c r="C86" s="88">
        <f>VLOOKUP(GroupVertices[[#This Row],[Vertex]],Vertices[],MATCH("ID",Vertices[[#Headers],[Vertex]:[Top Word Pairs in Tags by Salience]],0),FALSE)</f>
        <v>113</v>
      </c>
    </row>
    <row r="87" spans="1:3" ht="15">
      <c r="A87" s="88" t="s">
        <v>1708</v>
      </c>
      <c r="B87" s="114" t="s">
        <v>332</v>
      </c>
      <c r="C87" s="88">
        <f>VLOOKUP(GroupVertices[[#This Row],[Vertex]],Vertices[],MATCH("ID",Vertices[[#Headers],[Vertex]:[Top Word Pairs in Tags by Salience]],0),FALSE)</f>
        <v>112</v>
      </c>
    </row>
    <row r="88" spans="1:3" ht="15">
      <c r="A88" s="88" t="s">
        <v>1708</v>
      </c>
      <c r="B88" s="114" t="s">
        <v>321</v>
      </c>
      <c r="C88" s="88">
        <f>VLOOKUP(GroupVertices[[#This Row],[Vertex]],Vertices[],MATCH("ID",Vertices[[#Headers],[Vertex]:[Top Word Pairs in Tags by Salience]],0),FALSE)</f>
        <v>100</v>
      </c>
    </row>
    <row r="89" spans="1:3" ht="15">
      <c r="A89" s="88" t="s">
        <v>1708</v>
      </c>
      <c r="B89" s="114" t="s">
        <v>218</v>
      </c>
      <c r="C89" s="88">
        <f>VLOOKUP(GroupVertices[[#This Row],[Vertex]],Vertices[],MATCH("ID",Vertices[[#Headers],[Vertex]:[Top Word Pairs in Tags by Salience]],0),FALSE)</f>
        <v>22</v>
      </c>
    </row>
    <row r="90" spans="1:3" ht="15">
      <c r="A90" s="88" t="s">
        <v>1708</v>
      </c>
      <c r="B90" s="114" t="s">
        <v>311</v>
      </c>
      <c r="C90" s="88">
        <f>VLOOKUP(GroupVertices[[#This Row],[Vertex]],Vertices[],MATCH("ID",Vertices[[#Headers],[Vertex]:[Top Word Pairs in Tags by Salience]],0),FALSE)</f>
        <v>87</v>
      </c>
    </row>
    <row r="91" spans="1:3" ht="15">
      <c r="A91" s="88" t="s">
        <v>1708</v>
      </c>
      <c r="B91" s="114" t="s">
        <v>297</v>
      </c>
      <c r="C91" s="88">
        <f>VLOOKUP(GroupVertices[[#This Row],[Vertex]],Vertices[],MATCH("ID",Vertices[[#Headers],[Vertex]:[Top Word Pairs in Tags by Salience]],0),FALSE)</f>
        <v>72</v>
      </c>
    </row>
    <row r="92" spans="1:3" ht="15">
      <c r="A92" s="88" t="s">
        <v>1708</v>
      </c>
      <c r="B92" s="114" t="s">
        <v>296</v>
      </c>
      <c r="C92" s="88">
        <f>VLOOKUP(GroupVertices[[#This Row],[Vertex]],Vertices[],MATCH("ID",Vertices[[#Headers],[Vertex]:[Top Word Pairs in Tags by Salience]],0),FALSE)</f>
        <v>71</v>
      </c>
    </row>
    <row r="93" spans="1:3" ht="15">
      <c r="A93" s="88" t="s">
        <v>1709</v>
      </c>
      <c r="B93" s="114" t="s">
        <v>247</v>
      </c>
      <c r="C93" s="88">
        <f>VLOOKUP(GroupVertices[[#This Row],[Vertex]],Vertices[],MATCH("ID",Vertices[[#Headers],[Vertex]:[Top Word Pairs in Tags by Salience]],0),FALSE)</f>
        <v>19</v>
      </c>
    </row>
    <row r="94" spans="1:3" ht="15">
      <c r="A94" s="88" t="s">
        <v>1709</v>
      </c>
      <c r="B94" s="114" t="s">
        <v>216</v>
      </c>
      <c r="C94" s="88">
        <f>VLOOKUP(GroupVertices[[#This Row],[Vertex]],Vertices[],MATCH("ID",Vertices[[#Headers],[Vertex]:[Top Word Pairs in Tags by Salience]],0),FALSE)</f>
        <v>21</v>
      </c>
    </row>
    <row r="95" spans="1:3" ht="15">
      <c r="A95" s="88" t="s">
        <v>1709</v>
      </c>
      <c r="B95" s="114" t="s">
        <v>285</v>
      </c>
      <c r="C95" s="88">
        <f>VLOOKUP(GroupVertices[[#This Row],[Vertex]],Vertices[],MATCH("ID",Vertices[[#Headers],[Vertex]:[Top Word Pairs in Tags by Salience]],0),FALSE)</f>
        <v>60</v>
      </c>
    </row>
    <row r="96" spans="1:3" ht="15">
      <c r="A96" s="88" t="s">
        <v>1709</v>
      </c>
      <c r="B96" s="114" t="s">
        <v>284</v>
      </c>
      <c r="C96" s="88">
        <f>VLOOKUP(GroupVertices[[#This Row],[Vertex]],Vertices[],MATCH("ID",Vertices[[#Headers],[Vertex]:[Top Word Pairs in Tags by Salience]],0),FALSE)</f>
        <v>59</v>
      </c>
    </row>
    <row r="97" spans="1:3" ht="15">
      <c r="A97" s="88" t="s">
        <v>1709</v>
      </c>
      <c r="B97" s="114" t="s">
        <v>283</v>
      </c>
      <c r="C97" s="88">
        <f>VLOOKUP(GroupVertices[[#This Row],[Vertex]],Vertices[],MATCH("ID",Vertices[[#Headers],[Vertex]:[Top Word Pairs in Tags by Salience]],0),FALSE)</f>
        <v>58</v>
      </c>
    </row>
    <row r="98" spans="1:3" ht="15">
      <c r="A98" s="88" t="s">
        <v>1709</v>
      </c>
      <c r="B98" s="114" t="s">
        <v>282</v>
      </c>
      <c r="C98" s="88">
        <f>VLOOKUP(GroupVertices[[#This Row],[Vertex]],Vertices[],MATCH("ID",Vertices[[#Headers],[Vertex]:[Top Word Pairs in Tags by Salience]],0),FALSE)</f>
        <v>57</v>
      </c>
    </row>
    <row r="99" spans="1:3" ht="15">
      <c r="A99" s="88" t="s">
        <v>1709</v>
      </c>
      <c r="B99" s="114" t="s">
        <v>281</v>
      </c>
      <c r="C99" s="88">
        <f>VLOOKUP(GroupVertices[[#This Row],[Vertex]],Vertices[],MATCH("ID",Vertices[[#Headers],[Vertex]:[Top Word Pairs in Tags by Salience]],0),FALSE)</f>
        <v>56</v>
      </c>
    </row>
    <row r="100" spans="1:3" ht="15">
      <c r="A100" s="88" t="s">
        <v>1709</v>
      </c>
      <c r="B100" s="114" t="s">
        <v>280</v>
      </c>
      <c r="C100" s="88">
        <f>VLOOKUP(GroupVertices[[#This Row],[Vertex]],Vertices[],MATCH("ID",Vertices[[#Headers],[Vertex]:[Top Word Pairs in Tags by Salience]],0),FALSE)</f>
        <v>55</v>
      </c>
    </row>
    <row r="101" spans="1:3" ht="15">
      <c r="A101" s="88" t="s">
        <v>1709</v>
      </c>
      <c r="B101" s="114" t="s">
        <v>279</v>
      </c>
      <c r="C101" s="88">
        <f>VLOOKUP(GroupVertices[[#This Row],[Vertex]],Vertices[],MATCH("ID",Vertices[[#Headers],[Vertex]:[Top Word Pairs in Tags by Salience]],0),FALSE)</f>
        <v>54</v>
      </c>
    </row>
    <row r="102" spans="1:3" ht="15">
      <c r="A102" s="88" t="s">
        <v>1709</v>
      </c>
      <c r="B102" s="114" t="s">
        <v>278</v>
      </c>
      <c r="C102" s="88">
        <f>VLOOKUP(GroupVertices[[#This Row],[Vertex]],Vertices[],MATCH("ID",Vertices[[#Headers],[Vertex]:[Top Word Pairs in Tags by Salience]],0),FALSE)</f>
        <v>53</v>
      </c>
    </row>
    <row r="103" spans="1:3" ht="15">
      <c r="A103" s="88" t="s">
        <v>1709</v>
      </c>
      <c r="B103" s="114" t="s">
        <v>277</v>
      </c>
      <c r="C103" s="88">
        <f>VLOOKUP(GroupVertices[[#This Row],[Vertex]],Vertices[],MATCH("ID",Vertices[[#Headers],[Vertex]:[Top Word Pairs in Tags by Salience]],0),FALSE)</f>
        <v>52</v>
      </c>
    </row>
    <row r="104" spans="1:3" ht="15">
      <c r="A104" s="88" t="s">
        <v>1709</v>
      </c>
      <c r="B104" s="114" t="s">
        <v>276</v>
      </c>
      <c r="C104" s="88">
        <f>VLOOKUP(GroupVertices[[#This Row],[Vertex]],Vertices[],MATCH("ID",Vertices[[#Headers],[Vertex]:[Top Word Pairs in Tags by Salience]],0),FALSE)</f>
        <v>51</v>
      </c>
    </row>
    <row r="105" spans="1:3" ht="15">
      <c r="A105" s="88" t="s">
        <v>1709</v>
      </c>
      <c r="B105" s="114" t="s">
        <v>275</v>
      </c>
      <c r="C105" s="88">
        <f>VLOOKUP(GroupVertices[[#This Row],[Vertex]],Vertices[],MATCH("ID",Vertices[[#Headers],[Vertex]:[Top Word Pairs in Tags by Salience]],0),FALSE)</f>
        <v>50</v>
      </c>
    </row>
    <row r="106" spans="1:3" ht="15">
      <c r="A106" s="88" t="s">
        <v>1709</v>
      </c>
      <c r="B106" s="114" t="s">
        <v>274</v>
      </c>
      <c r="C106" s="88">
        <f>VLOOKUP(GroupVertices[[#This Row],[Vertex]],Vertices[],MATCH("ID",Vertices[[#Headers],[Vertex]:[Top Word Pairs in Tags by Salience]],0),FALSE)</f>
        <v>49</v>
      </c>
    </row>
    <row r="107" spans="1:3" ht="15">
      <c r="A107" s="88" t="s">
        <v>1709</v>
      </c>
      <c r="B107" s="114" t="s">
        <v>273</v>
      </c>
      <c r="C107" s="88">
        <f>VLOOKUP(GroupVertices[[#This Row],[Vertex]],Vertices[],MATCH("ID",Vertices[[#Headers],[Vertex]:[Top Word Pairs in Tags by Salience]],0),FALSE)</f>
        <v>48</v>
      </c>
    </row>
    <row r="108" spans="1:3" ht="15">
      <c r="A108" s="88" t="s">
        <v>1709</v>
      </c>
      <c r="B108" s="114" t="s">
        <v>272</v>
      </c>
      <c r="C108" s="88">
        <f>VLOOKUP(GroupVertices[[#This Row],[Vertex]],Vertices[],MATCH("ID",Vertices[[#Headers],[Vertex]:[Top Word Pairs in Tags by Salience]],0),FALSE)</f>
        <v>47</v>
      </c>
    </row>
    <row r="109" spans="1:3" ht="15">
      <c r="A109" s="88" t="s">
        <v>1709</v>
      </c>
      <c r="B109" s="114" t="s">
        <v>271</v>
      </c>
      <c r="C109" s="88">
        <f>VLOOKUP(GroupVertices[[#This Row],[Vertex]],Vertices[],MATCH("ID",Vertices[[#Headers],[Vertex]:[Top Word Pairs in Tags by Salience]],0),FALSE)</f>
        <v>46</v>
      </c>
    </row>
    <row r="110" spans="1:3" ht="15">
      <c r="A110" s="88" t="s">
        <v>1709</v>
      </c>
      <c r="B110" s="114" t="s">
        <v>270</v>
      </c>
      <c r="C110" s="88">
        <f>VLOOKUP(GroupVertices[[#This Row],[Vertex]],Vertices[],MATCH("ID",Vertices[[#Headers],[Vertex]:[Top Word Pairs in Tags by Salience]],0),FALSE)</f>
        <v>45</v>
      </c>
    </row>
    <row r="111" spans="1:3" ht="15">
      <c r="A111" s="88" t="s">
        <v>1709</v>
      </c>
      <c r="B111" s="114" t="s">
        <v>269</v>
      </c>
      <c r="C111" s="88">
        <f>VLOOKUP(GroupVertices[[#This Row],[Vertex]],Vertices[],MATCH("ID",Vertices[[#Headers],[Vertex]:[Top Word Pairs in Tags by Salience]],0),FALSE)</f>
        <v>44</v>
      </c>
    </row>
    <row r="112" spans="1:3" ht="15">
      <c r="A112" s="88" t="s">
        <v>1709</v>
      </c>
      <c r="B112" s="114" t="s">
        <v>268</v>
      </c>
      <c r="C112" s="88">
        <f>VLOOKUP(GroupVertices[[#This Row],[Vertex]],Vertices[],MATCH("ID",Vertices[[#Headers],[Vertex]:[Top Word Pairs in Tags by Salience]],0),FALSE)</f>
        <v>43</v>
      </c>
    </row>
    <row r="113" spans="1:3" ht="15">
      <c r="A113" s="88" t="s">
        <v>1709</v>
      </c>
      <c r="B113" s="114" t="s">
        <v>258</v>
      </c>
      <c r="C113" s="88">
        <f>VLOOKUP(GroupVertices[[#This Row],[Vertex]],Vertices[],MATCH("ID",Vertices[[#Headers],[Vertex]:[Top Word Pairs in Tags by Salience]],0),FALSE)</f>
        <v>32</v>
      </c>
    </row>
    <row r="114" spans="1:3" ht="15">
      <c r="A114" s="88" t="s">
        <v>1709</v>
      </c>
      <c r="B114" s="114" t="s">
        <v>249</v>
      </c>
      <c r="C114" s="88">
        <f>VLOOKUP(GroupVertices[[#This Row],[Vertex]],Vertices[],MATCH("ID",Vertices[[#Headers],[Vertex]:[Top Word Pairs in Tags by Salience]],0),FALSE)</f>
        <v>23</v>
      </c>
    </row>
    <row r="115" spans="1:3" ht="15">
      <c r="A115" s="88" t="s">
        <v>1709</v>
      </c>
      <c r="B115" s="114" t="s">
        <v>214</v>
      </c>
      <c r="C115" s="88">
        <f>VLOOKUP(GroupVertices[[#This Row],[Vertex]],Vertices[],MATCH("ID",Vertices[[#Headers],[Vertex]:[Top Word Pairs in Tags by Salience]],0),FALSE)</f>
        <v>3</v>
      </c>
    </row>
    <row r="116" spans="1:3" ht="15">
      <c r="A116" s="88" t="s">
        <v>1709</v>
      </c>
      <c r="B116" s="114" t="s">
        <v>245</v>
      </c>
      <c r="C116" s="88">
        <f>VLOOKUP(GroupVertices[[#This Row],[Vertex]],Vertices[],MATCH("ID",Vertices[[#Headers],[Vertex]:[Top Word Pairs in Tags by Salience]],0),FALSE)</f>
        <v>16</v>
      </c>
    </row>
    <row r="117" spans="1:3" ht="15">
      <c r="A117" s="88" t="s">
        <v>1709</v>
      </c>
      <c r="B117" s="114" t="s">
        <v>244</v>
      </c>
      <c r="C117" s="88">
        <f>VLOOKUP(GroupVertices[[#This Row],[Vertex]],Vertices[],MATCH("ID",Vertices[[#Headers],[Vertex]:[Top Word Pairs in Tags by Salience]],0),FALSE)</f>
        <v>15</v>
      </c>
    </row>
    <row r="118" spans="1:3" ht="15">
      <c r="A118" s="88" t="s">
        <v>1709</v>
      </c>
      <c r="B118" s="114" t="s">
        <v>243</v>
      </c>
      <c r="C118" s="88">
        <f>VLOOKUP(GroupVertices[[#This Row],[Vertex]],Vertices[],MATCH("ID",Vertices[[#Headers],[Vertex]:[Top Word Pairs in Tags by Salience]],0),FALSE)</f>
        <v>14</v>
      </c>
    </row>
    <row r="119" spans="1:3" ht="15">
      <c r="A119" s="88" t="s">
        <v>1709</v>
      </c>
      <c r="B119" s="114" t="s">
        <v>242</v>
      </c>
      <c r="C119" s="88">
        <f>VLOOKUP(GroupVertices[[#This Row],[Vertex]],Vertices[],MATCH("ID",Vertices[[#Headers],[Vertex]:[Top Word Pairs in Tags by Salience]],0),FALSE)</f>
        <v>13</v>
      </c>
    </row>
    <row r="120" spans="1:3" ht="15">
      <c r="A120" s="88" t="s">
        <v>1709</v>
      </c>
      <c r="B120" s="114" t="s">
        <v>241</v>
      </c>
      <c r="C120" s="88">
        <f>VLOOKUP(GroupVertices[[#This Row],[Vertex]],Vertices[],MATCH("ID",Vertices[[#Headers],[Vertex]:[Top Word Pairs in Tags by Salience]],0),FALSE)</f>
        <v>12</v>
      </c>
    </row>
    <row r="121" spans="1:3" ht="15">
      <c r="A121" s="88" t="s">
        <v>1709</v>
      </c>
      <c r="B121" s="114" t="s">
        <v>240</v>
      </c>
      <c r="C121" s="88">
        <f>VLOOKUP(GroupVertices[[#This Row],[Vertex]],Vertices[],MATCH("ID",Vertices[[#Headers],[Vertex]:[Top Word Pairs in Tags by Salience]],0),FALSE)</f>
        <v>11</v>
      </c>
    </row>
    <row r="122" spans="1:3" ht="15">
      <c r="A122" s="88" t="s">
        <v>1709</v>
      </c>
      <c r="B122" s="114" t="s">
        <v>239</v>
      </c>
      <c r="C122" s="88">
        <f>VLOOKUP(GroupVertices[[#This Row],[Vertex]],Vertices[],MATCH("ID",Vertices[[#Headers],[Vertex]:[Top Word Pairs in Tags by Salience]],0),FALSE)</f>
        <v>10</v>
      </c>
    </row>
    <row r="123" spans="1:3" ht="15">
      <c r="A123" s="88" t="s">
        <v>1709</v>
      </c>
      <c r="B123" s="114" t="s">
        <v>238</v>
      </c>
      <c r="C123" s="88">
        <f>VLOOKUP(GroupVertices[[#This Row],[Vertex]],Vertices[],MATCH("ID",Vertices[[#Headers],[Vertex]:[Top Word Pairs in Tags by Salience]],0),FALSE)</f>
        <v>9</v>
      </c>
    </row>
    <row r="124" spans="1:3" ht="15">
      <c r="A124" s="88" t="s">
        <v>1709</v>
      </c>
      <c r="B124" s="114" t="s">
        <v>237</v>
      </c>
      <c r="C124" s="88">
        <f>VLOOKUP(GroupVertices[[#This Row],[Vertex]],Vertices[],MATCH("ID",Vertices[[#Headers],[Vertex]:[Top Word Pairs in Tags by Salience]],0),FALSE)</f>
        <v>8</v>
      </c>
    </row>
    <row r="125" spans="1:3" ht="15">
      <c r="A125" s="88" t="s">
        <v>1709</v>
      </c>
      <c r="B125" s="114" t="s">
        <v>236</v>
      </c>
      <c r="C125" s="88">
        <f>VLOOKUP(GroupVertices[[#This Row],[Vertex]],Vertices[],MATCH("ID",Vertices[[#Headers],[Vertex]:[Top Word Pairs in Tags by Salience]],0),FALSE)</f>
        <v>7</v>
      </c>
    </row>
    <row r="126" spans="1:3" ht="15">
      <c r="A126" s="88" t="s">
        <v>1709</v>
      </c>
      <c r="B126" s="114" t="s">
        <v>235</v>
      </c>
      <c r="C126" s="88">
        <f>VLOOKUP(GroupVertices[[#This Row],[Vertex]],Vertices[],MATCH("ID",Vertices[[#Headers],[Vertex]:[Top Word Pairs in Tags by Salience]],0),FALSE)</f>
        <v>6</v>
      </c>
    </row>
    <row r="127" spans="1:3" ht="15">
      <c r="A127" s="88" t="s">
        <v>1709</v>
      </c>
      <c r="B127" s="114" t="s">
        <v>234</v>
      </c>
      <c r="C127" s="88">
        <f>VLOOKUP(GroupVertices[[#This Row],[Vertex]],Vertices[],MATCH("ID",Vertices[[#Headers],[Vertex]:[Top Word Pairs in Tags by Salience]],0),FALSE)</f>
        <v>5</v>
      </c>
    </row>
    <row r="128" spans="1:3" ht="15">
      <c r="A128" s="88" t="s">
        <v>1709</v>
      </c>
      <c r="B128" s="114" t="s">
        <v>493</v>
      </c>
      <c r="C128" s="88">
        <f>VLOOKUP(GroupVertices[[#This Row],[Vertex]],Vertices[],MATCH("ID",Vertices[[#Headers],[Vertex]:[Top Word Pairs in Tags by Salience]],0),FALSE)</f>
        <v>4</v>
      </c>
    </row>
    <row r="129" spans="1:3" ht="15">
      <c r="A129" s="88" t="s">
        <v>1710</v>
      </c>
      <c r="B129" s="114" t="s">
        <v>314</v>
      </c>
      <c r="C129" s="88">
        <f>VLOOKUP(GroupVertices[[#This Row],[Vertex]],Vertices[],MATCH("ID",Vertices[[#Headers],[Vertex]:[Top Word Pairs in Tags by Salience]],0),FALSE)</f>
        <v>90</v>
      </c>
    </row>
    <row r="130" spans="1:3" ht="15">
      <c r="A130" s="88" t="s">
        <v>1710</v>
      </c>
      <c r="B130" s="114" t="s">
        <v>219</v>
      </c>
      <c r="C130" s="88">
        <f>VLOOKUP(GroupVertices[[#This Row],[Vertex]],Vertices[],MATCH("ID",Vertices[[#Headers],[Vertex]:[Top Word Pairs in Tags by Salience]],0),FALSE)</f>
        <v>73</v>
      </c>
    </row>
    <row r="131" spans="1:3" ht="15">
      <c r="A131" s="88" t="s">
        <v>1710</v>
      </c>
      <c r="B131" s="114" t="s">
        <v>313</v>
      </c>
      <c r="C131" s="88">
        <f>VLOOKUP(GroupVertices[[#This Row],[Vertex]],Vertices[],MATCH("ID",Vertices[[#Headers],[Vertex]:[Top Word Pairs in Tags by Salience]],0),FALSE)</f>
        <v>89</v>
      </c>
    </row>
    <row r="132" spans="1:3" ht="15">
      <c r="A132" s="88" t="s">
        <v>1710</v>
      </c>
      <c r="B132" s="114" t="s">
        <v>312</v>
      </c>
      <c r="C132" s="88">
        <f>VLOOKUP(GroupVertices[[#This Row],[Vertex]],Vertices[],MATCH("ID",Vertices[[#Headers],[Vertex]:[Top Word Pairs in Tags by Salience]],0),FALSE)</f>
        <v>88</v>
      </c>
    </row>
    <row r="133" spans="1:3" ht="15">
      <c r="A133" s="88" t="s">
        <v>1710</v>
      </c>
      <c r="B133" s="114" t="s">
        <v>217</v>
      </c>
      <c r="C133" s="88">
        <f>VLOOKUP(GroupVertices[[#This Row],[Vertex]],Vertices[],MATCH("ID",Vertices[[#Headers],[Vertex]:[Top Word Pairs in Tags by Salience]],0),FALSE)</f>
        <v>42</v>
      </c>
    </row>
    <row r="134" spans="1:3" ht="15">
      <c r="A134" s="88" t="s">
        <v>1710</v>
      </c>
      <c r="B134" s="114" t="s">
        <v>308</v>
      </c>
      <c r="C134" s="88">
        <f>VLOOKUP(GroupVertices[[#This Row],[Vertex]],Vertices[],MATCH("ID",Vertices[[#Headers],[Vertex]:[Top Word Pairs in Tags by Salience]],0),FALSE)</f>
        <v>84</v>
      </c>
    </row>
    <row r="135" spans="1:3" ht="15">
      <c r="A135" s="88" t="s">
        <v>1710</v>
      </c>
      <c r="B135" s="114" t="s">
        <v>307</v>
      </c>
      <c r="C135" s="88">
        <f>VLOOKUP(GroupVertices[[#This Row],[Vertex]],Vertices[],MATCH("ID",Vertices[[#Headers],[Vertex]:[Top Word Pairs in Tags by Salience]],0),FALSE)</f>
        <v>83</v>
      </c>
    </row>
    <row r="136" spans="1:3" ht="15">
      <c r="A136" s="88" t="s">
        <v>1710</v>
      </c>
      <c r="B136" s="114" t="s">
        <v>306</v>
      </c>
      <c r="C136" s="88">
        <f>VLOOKUP(GroupVertices[[#This Row],[Vertex]],Vertices[],MATCH("ID",Vertices[[#Headers],[Vertex]:[Top Word Pairs in Tags by Salience]],0),FALSE)</f>
        <v>82</v>
      </c>
    </row>
    <row r="137" spans="1:3" ht="15">
      <c r="A137" s="88" t="s">
        <v>1710</v>
      </c>
      <c r="B137" s="114" t="s">
        <v>305</v>
      </c>
      <c r="C137" s="88">
        <f>VLOOKUP(GroupVertices[[#This Row],[Vertex]],Vertices[],MATCH("ID",Vertices[[#Headers],[Vertex]:[Top Word Pairs in Tags by Salience]],0),FALSE)</f>
        <v>81</v>
      </c>
    </row>
    <row r="138" spans="1:3" ht="15">
      <c r="A138" s="88" t="s">
        <v>1710</v>
      </c>
      <c r="B138" s="114" t="s">
        <v>304</v>
      </c>
      <c r="C138" s="88">
        <f>VLOOKUP(GroupVertices[[#This Row],[Vertex]],Vertices[],MATCH("ID",Vertices[[#Headers],[Vertex]:[Top Word Pairs in Tags by Salience]],0),FALSE)</f>
        <v>80</v>
      </c>
    </row>
    <row r="139" spans="1:3" ht="15">
      <c r="A139" s="88" t="s">
        <v>1710</v>
      </c>
      <c r="B139" s="114" t="s">
        <v>303</v>
      </c>
      <c r="C139" s="88">
        <f>VLOOKUP(GroupVertices[[#This Row],[Vertex]],Vertices[],MATCH("ID",Vertices[[#Headers],[Vertex]:[Top Word Pairs in Tags by Salience]],0),FALSE)</f>
        <v>79</v>
      </c>
    </row>
    <row r="140" spans="1:3" ht="15">
      <c r="A140" s="88" t="s">
        <v>1710</v>
      </c>
      <c r="B140" s="114" t="s">
        <v>302</v>
      </c>
      <c r="C140" s="88">
        <f>VLOOKUP(GroupVertices[[#This Row],[Vertex]],Vertices[],MATCH("ID",Vertices[[#Headers],[Vertex]:[Top Word Pairs in Tags by Salience]],0),FALSE)</f>
        <v>78</v>
      </c>
    </row>
    <row r="141" spans="1:3" ht="15">
      <c r="A141" s="88" t="s">
        <v>1710</v>
      </c>
      <c r="B141" s="114" t="s">
        <v>301</v>
      </c>
      <c r="C141" s="88">
        <f>VLOOKUP(GroupVertices[[#This Row],[Vertex]],Vertices[],MATCH("ID",Vertices[[#Headers],[Vertex]:[Top Word Pairs in Tags by Salience]],0),FALSE)</f>
        <v>77</v>
      </c>
    </row>
    <row r="142" spans="1:3" ht="15">
      <c r="A142" s="88" t="s">
        <v>1710</v>
      </c>
      <c r="B142" s="114" t="s">
        <v>300</v>
      </c>
      <c r="C142" s="88">
        <f>VLOOKUP(GroupVertices[[#This Row],[Vertex]],Vertices[],MATCH("ID",Vertices[[#Headers],[Vertex]:[Top Word Pairs in Tags by Salience]],0),FALSE)</f>
        <v>76</v>
      </c>
    </row>
    <row r="143" spans="1:3" ht="15">
      <c r="A143" s="88" t="s">
        <v>1710</v>
      </c>
      <c r="B143" s="114" t="s">
        <v>299</v>
      </c>
      <c r="C143" s="88">
        <f>VLOOKUP(GroupVertices[[#This Row],[Vertex]],Vertices[],MATCH("ID",Vertices[[#Headers],[Vertex]:[Top Word Pairs in Tags by Salience]],0),FALSE)</f>
        <v>75</v>
      </c>
    </row>
    <row r="144" spans="1:3" ht="15">
      <c r="A144" s="88" t="s">
        <v>1710</v>
      </c>
      <c r="B144" s="114" t="s">
        <v>298</v>
      </c>
      <c r="C144" s="88">
        <f>VLOOKUP(GroupVertices[[#This Row],[Vertex]],Vertices[],MATCH("ID",Vertices[[#Headers],[Vertex]:[Top Word Pairs in Tags by Salience]],0),FALSE)</f>
        <v>74</v>
      </c>
    </row>
    <row r="145" spans="1:3" ht="15">
      <c r="A145" s="88" t="s">
        <v>1710</v>
      </c>
      <c r="B145" s="114" t="s">
        <v>267</v>
      </c>
      <c r="C145" s="88">
        <f>VLOOKUP(GroupVertices[[#This Row],[Vertex]],Vertices[],MATCH("ID",Vertices[[#Headers],[Vertex]:[Top Word Pairs in Tags by Salience]],0),FALSE)</f>
        <v>41</v>
      </c>
    </row>
    <row r="146" spans="1:3" ht="15">
      <c r="A146" s="88" t="s">
        <v>1710</v>
      </c>
      <c r="B146" s="114" t="s">
        <v>295</v>
      </c>
      <c r="C146" s="88">
        <f>VLOOKUP(GroupVertices[[#This Row],[Vertex]],Vertices[],MATCH("ID",Vertices[[#Headers],[Vertex]:[Top Word Pairs in Tags by Salience]],0),FALSE)</f>
        <v>70</v>
      </c>
    </row>
    <row r="147" spans="1:3" ht="15">
      <c r="A147" s="88" t="s">
        <v>1710</v>
      </c>
      <c r="B147" s="114" t="s">
        <v>294</v>
      </c>
      <c r="C147" s="88">
        <f>VLOOKUP(GroupVertices[[#This Row],[Vertex]],Vertices[],MATCH("ID",Vertices[[#Headers],[Vertex]:[Top Word Pairs in Tags by Salience]],0),FALSE)</f>
        <v>69</v>
      </c>
    </row>
    <row r="148" spans="1:3" ht="15">
      <c r="A148" s="88" t="s">
        <v>1710</v>
      </c>
      <c r="B148" s="114" t="s">
        <v>293</v>
      </c>
      <c r="C148" s="88">
        <f>VLOOKUP(GroupVertices[[#This Row],[Vertex]],Vertices[],MATCH("ID",Vertices[[#Headers],[Vertex]:[Top Word Pairs in Tags by Salience]],0),FALSE)</f>
        <v>68</v>
      </c>
    </row>
    <row r="149" spans="1:3" ht="15">
      <c r="A149" s="88" t="s">
        <v>1710</v>
      </c>
      <c r="B149" s="114" t="s">
        <v>292</v>
      </c>
      <c r="C149" s="88">
        <f>VLOOKUP(GroupVertices[[#This Row],[Vertex]],Vertices[],MATCH("ID",Vertices[[#Headers],[Vertex]:[Top Word Pairs in Tags by Salience]],0),FALSE)</f>
        <v>67</v>
      </c>
    </row>
    <row r="150" spans="1:3" ht="15">
      <c r="A150" s="88" t="s">
        <v>1710</v>
      </c>
      <c r="B150" s="114" t="s">
        <v>291</v>
      </c>
      <c r="C150" s="88">
        <f>VLOOKUP(GroupVertices[[#This Row],[Vertex]],Vertices[],MATCH("ID",Vertices[[#Headers],[Vertex]:[Top Word Pairs in Tags by Salience]],0),FALSE)</f>
        <v>66</v>
      </c>
    </row>
    <row r="151" spans="1:3" ht="15">
      <c r="A151" s="88" t="s">
        <v>1710</v>
      </c>
      <c r="B151" s="114" t="s">
        <v>290</v>
      </c>
      <c r="C151" s="88">
        <f>VLOOKUP(GroupVertices[[#This Row],[Vertex]],Vertices[],MATCH("ID",Vertices[[#Headers],[Vertex]:[Top Word Pairs in Tags by Salience]],0),FALSE)</f>
        <v>65</v>
      </c>
    </row>
    <row r="152" spans="1:3" ht="15">
      <c r="A152" s="88" t="s">
        <v>1710</v>
      </c>
      <c r="B152" s="114" t="s">
        <v>289</v>
      </c>
      <c r="C152" s="88">
        <f>VLOOKUP(GroupVertices[[#This Row],[Vertex]],Vertices[],MATCH("ID",Vertices[[#Headers],[Vertex]:[Top Word Pairs in Tags by Salience]],0),FALSE)</f>
        <v>64</v>
      </c>
    </row>
    <row r="153" spans="1:3" ht="15">
      <c r="A153" s="88" t="s">
        <v>1710</v>
      </c>
      <c r="B153" s="114" t="s">
        <v>288</v>
      </c>
      <c r="C153" s="88">
        <f>VLOOKUP(GroupVertices[[#This Row],[Vertex]],Vertices[],MATCH("ID",Vertices[[#Headers],[Vertex]:[Top Word Pairs in Tags by Salience]],0),FALSE)</f>
        <v>63</v>
      </c>
    </row>
    <row r="154" spans="1:3" ht="15">
      <c r="A154" s="88" t="s">
        <v>1710</v>
      </c>
      <c r="B154" s="114" t="s">
        <v>287</v>
      </c>
      <c r="C154" s="88">
        <f>VLOOKUP(GroupVertices[[#This Row],[Vertex]],Vertices[],MATCH("ID",Vertices[[#Headers],[Vertex]:[Top Word Pairs in Tags by Salience]],0),FALSE)</f>
        <v>62</v>
      </c>
    </row>
    <row r="155" spans="1:3" ht="15">
      <c r="A155" s="88" t="s">
        <v>1710</v>
      </c>
      <c r="B155" s="114" t="s">
        <v>286</v>
      </c>
      <c r="C155" s="88">
        <f>VLOOKUP(GroupVertices[[#This Row],[Vertex]],Vertices[],MATCH("ID",Vertices[[#Headers],[Vertex]:[Top Word Pairs in Tags by Salience]],0),FALSE)</f>
        <v>61</v>
      </c>
    </row>
    <row r="156" spans="1:3" ht="15">
      <c r="A156" s="88" t="s">
        <v>1711</v>
      </c>
      <c r="B156" s="114" t="s">
        <v>263</v>
      </c>
      <c r="C156" s="88">
        <f>VLOOKUP(GroupVertices[[#This Row],[Vertex]],Vertices[],MATCH("ID",Vertices[[#Headers],[Vertex]:[Top Word Pairs in Tags by Salience]],0),FALSE)</f>
        <v>37</v>
      </c>
    </row>
    <row r="157" spans="1:3" ht="15">
      <c r="A157" s="88" t="s">
        <v>1711</v>
      </c>
      <c r="B157" s="114" t="s">
        <v>261</v>
      </c>
      <c r="C157" s="88">
        <f>VLOOKUP(GroupVertices[[#This Row],[Vertex]],Vertices[],MATCH("ID",Vertices[[#Headers],[Vertex]:[Top Word Pairs in Tags by Salience]],0),FALSE)</f>
        <v>35</v>
      </c>
    </row>
    <row r="158" spans="1:3" ht="15">
      <c r="A158" s="88" t="s">
        <v>1711</v>
      </c>
      <c r="B158" s="114" t="s">
        <v>265</v>
      </c>
      <c r="C158" s="88">
        <f>VLOOKUP(GroupVertices[[#This Row],[Vertex]],Vertices[],MATCH("ID",Vertices[[#Headers],[Vertex]:[Top Word Pairs in Tags by Salience]],0),FALSE)</f>
        <v>39</v>
      </c>
    </row>
    <row r="159" spans="1:3" ht="15">
      <c r="A159" s="88" t="s">
        <v>1711</v>
      </c>
      <c r="B159" s="114" t="s">
        <v>260</v>
      </c>
      <c r="C159" s="88">
        <f>VLOOKUP(GroupVertices[[#This Row],[Vertex]],Vertices[],MATCH("ID",Vertices[[#Headers],[Vertex]:[Top Word Pairs in Tags by Salience]],0),FALSE)</f>
        <v>34</v>
      </c>
    </row>
    <row r="160" spans="1:3" ht="15">
      <c r="A160" s="88" t="s">
        <v>1711</v>
      </c>
      <c r="B160" s="114" t="s">
        <v>331</v>
      </c>
      <c r="C160" s="88">
        <f>VLOOKUP(GroupVertices[[#This Row],[Vertex]],Vertices[],MATCH("ID",Vertices[[#Headers],[Vertex]:[Top Word Pairs in Tags by Salience]],0),FALSE)</f>
        <v>110</v>
      </c>
    </row>
    <row r="161" spans="1:3" ht="15">
      <c r="A161" s="88" t="s">
        <v>1711</v>
      </c>
      <c r="B161" s="114" t="s">
        <v>220</v>
      </c>
      <c r="C161" s="88">
        <f>VLOOKUP(GroupVertices[[#This Row],[Vertex]],Vertices[],MATCH("ID",Vertices[[#Headers],[Vertex]:[Top Word Pairs in Tags by Salience]],0),FALSE)</f>
        <v>92</v>
      </c>
    </row>
    <row r="162" spans="1:3" ht="15">
      <c r="A162" s="88" t="s">
        <v>1711</v>
      </c>
      <c r="B162" s="114" t="s">
        <v>329</v>
      </c>
      <c r="C162" s="88">
        <f>VLOOKUP(GroupVertices[[#This Row],[Vertex]],Vertices[],MATCH("ID",Vertices[[#Headers],[Vertex]:[Top Word Pairs in Tags by Salience]],0),FALSE)</f>
        <v>108</v>
      </c>
    </row>
    <row r="163" spans="1:3" ht="15">
      <c r="A163" s="88" t="s">
        <v>1711</v>
      </c>
      <c r="B163" s="114" t="s">
        <v>328</v>
      </c>
      <c r="C163" s="88">
        <f>VLOOKUP(GroupVertices[[#This Row],[Vertex]],Vertices[],MATCH("ID",Vertices[[#Headers],[Vertex]:[Top Word Pairs in Tags by Salience]],0),FALSE)</f>
        <v>107</v>
      </c>
    </row>
    <row r="164" spans="1:3" ht="15">
      <c r="A164" s="88" t="s">
        <v>1711</v>
      </c>
      <c r="B164" s="114" t="s">
        <v>327</v>
      </c>
      <c r="C164" s="88">
        <f>VLOOKUP(GroupVertices[[#This Row],[Vertex]],Vertices[],MATCH("ID",Vertices[[#Headers],[Vertex]:[Top Word Pairs in Tags by Salience]],0),FALSE)</f>
        <v>106</v>
      </c>
    </row>
    <row r="165" spans="1:3" ht="15">
      <c r="A165" s="88" t="s">
        <v>1711</v>
      </c>
      <c r="B165" s="114" t="s">
        <v>326</v>
      </c>
      <c r="C165" s="88">
        <f>VLOOKUP(GroupVertices[[#This Row],[Vertex]],Vertices[],MATCH("ID",Vertices[[#Headers],[Vertex]:[Top Word Pairs in Tags by Salience]],0),FALSE)</f>
        <v>105</v>
      </c>
    </row>
    <row r="166" spans="1:3" ht="15">
      <c r="A166" s="88" t="s">
        <v>1711</v>
      </c>
      <c r="B166" s="114" t="s">
        <v>325</v>
      </c>
      <c r="C166" s="88">
        <f>VLOOKUP(GroupVertices[[#This Row],[Vertex]],Vertices[],MATCH("ID",Vertices[[#Headers],[Vertex]:[Top Word Pairs in Tags by Salience]],0),FALSE)</f>
        <v>104</v>
      </c>
    </row>
    <row r="167" spans="1:3" ht="15">
      <c r="A167" s="88" t="s">
        <v>1711</v>
      </c>
      <c r="B167" s="114" t="s">
        <v>324</v>
      </c>
      <c r="C167" s="88">
        <f>VLOOKUP(GroupVertices[[#This Row],[Vertex]],Vertices[],MATCH("ID",Vertices[[#Headers],[Vertex]:[Top Word Pairs in Tags by Salience]],0),FALSE)</f>
        <v>103</v>
      </c>
    </row>
    <row r="168" spans="1:3" ht="15">
      <c r="A168" s="88" t="s">
        <v>1711</v>
      </c>
      <c r="B168" s="114" t="s">
        <v>323</v>
      </c>
      <c r="C168" s="88">
        <f>VLOOKUP(GroupVertices[[#This Row],[Vertex]],Vertices[],MATCH("ID",Vertices[[#Headers],[Vertex]:[Top Word Pairs in Tags by Salience]],0),FALSE)</f>
        <v>102</v>
      </c>
    </row>
    <row r="169" spans="1:3" ht="15">
      <c r="A169" s="88" t="s">
        <v>1711</v>
      </c>
      <c r="B169" s="114" t="s">
        <v>264</v>
      </c>
      <c r="C169" s="88">
        <f>VLOOKUP(GroupVertices[[#This Row],[Vertex]],Vertices[],MATCH("ID",Vertices[[#Headers],[Vertex]:[Top Word Pairs in Tags by Salience]],0),FALSE)</f>
        <v>38</v>
      </c>
    </row>
    <row r="170" spans="1:3" ht="15">
      <c r="A170" s="88" t="s">
        <v>1711</v>
      </c>
      <c r="B170" s="114" t="s">
        <v>318</v>
      </c>
      <c r="C170" s="88">
        <f>VLOOKUP(GroupVertices[[#This Row],[Vertex]],Vertices[],MATCH("ID",Vertices[[#Headers],[Vertex]:[Top Word Pairs in Tags by Salience]],0),FALSE)</f>
        <v>95</v>
      </c>
    </row>
    <row r="171" spans="1:3" ht="15">
      <c r="A171" s="88" t="s">
        <v>1711</v>
      </c>
      <c r="B171" s="114" t="s">
        <v>317</v>
      </c>
      <c r="C171" s="88">
        <f>VLOOKUP(GroupVertices[[#This Row],[Vertex]],Vertices[],MATCH("ID",Vertices[[#Headers],[Vertex]:[Top Word Pairs in Tags by Salience]],0),FALSE)</f>
        <v>94</v>
      </c>
    </row>
    <row r="172" spans="1:3" ht="15">
      <c r="A172" s="88" t="s">
        <v>1711</v>
      </c>
      <c r="B172" s="114" t="s">
        <v>316</v>
      </c>
      <c r="C172" s="88">
        <f>VLOOKUP(GroupVertices[[#This Row],[Vertex]],Vertices[],MATCH("ID",Vertices[[#Headers],[Vertex]:[Top Word Pairs in Tags by Salience]],0),FALSE)</f>
        <v>93</v>
      </c>
    </row>
    <row r="173" spans="1:3" ht="15">
      <c r="A173" s="88" t="s">
        <v>1711</v>
      </c>
      <c r="B173" s="114" t="s">
        <v>215</v>
      </c>
      <c r="C173" s="88">
        <f>VLOOKUP(GroupVertices[[#This Row],[Vertex]],Vertices[],MATCH("ID",Vertices[[#Headers],[Vertex]:[Top Word Pairs in Tags by Salience]],0),FALSE)</f>
        <v>17</v>
      </c>
    </row>
    <row r="174" spans="1:3" ht="15">
      <c r="A174" s="88" t="s">
        <v>1711</v>
      </c>
      <c r="B174" s="114" t="s">
        <v>255</v>
      </c>
      <c r="C174" s="88">
        <f>VLOOKUP(GroupVertices[[#This Row],[Vertex]],Vertices[],MATCH("ID",Vertices[[#Headers],[Vertex]:[Top Word Pairs in Tags by Salience]],0),FALSE)</f>
        <v>29</v>
      </c>
    </row>
    <row r="175" spans="1:3" ht="15">
      <c r="A175" s="88" t="s">
        <v>1711</v>
      </c>
      <c r="B175" s="114" t="s">
        <v>254</v>
      </c>
      <c r="C175" s="88">
        <f>VLOOKUP(GroupVertices[[#This Row],[Vertex]],Vertices[],MATCH("ID",Vertices[[#Headers],[Vertex]:[Top Word Pairs in Tags by Salience]],0),FALSE)</f>
        <v>28</v>
      </c>
    </row>
    <row r="176" spans="1:3" ht="15">
      <c r="A176" s="88" t="s">
        <v>1711</v>
      </c>
      <c r="B176" s="114" t="s">
        <v>253</v>
      </c>
      <c r="C176" s="88">
        <f>VLOOKUP(GroupVertices[[#This Row],[Vertex]],Vertices[],MATCH("ID",Vertices[[#Headers],[Vertex]:[Top Word Pairs in Tags by Salience]],0),FALSE)</f>
        <v>27</v>
      </c>
    </row>
    <row r="177" spans="1:3" ht="15">
      <c r="A177" s="88" t="s">
        <v>1711</v>
      </c>
      <c r="B177" s="114" t="s">
        <v>252</v>
      </c>
      <c r="C177" s="88">
        <f>VLOOKUP(GroupVertices[[#This Row],[Vertex]],Vertices[],MATCH("ID",Vertices[[#Headers],[Vertex]:[Top Word Pairs in Tags by Salience]],0),FALSE)</f>
        <v>26</v>
      </c>
    </row>
    <row r="178" spans="1:3" ht="15">
      <c r="A178" s="88" t="s">
        <v>1711</v>
      </c>
      <c r="B178" s="114" t="s">
        <v>251</v>
      </c>
      <c r="C178" s="88">
        <f>VLOOKUP(GroupVertices[[#This Row],[Vertex]],Vertices[],MATCH("ID",Vertices[[#Headers],[Vertex]:[Top Word Pairs in Tags by Salience]],0),FALSE)</f>
        <v>25</v>
      </c>
    </row>
    <row r="179" spans="1:3" ht="15">
      <c r="A179" s="88" t="s">
        <v>1711</v>
      </c>
      <c r="B179" s="114" t="s">
        <v>250</v>
      </c>
      <c r="C179" s="88">
        <f>VLOOKUP(GroupVertices[[#This Row],[Vertex]],Vertices[],MATCH("ID",Vertices[[#Headers],[Vertex]:[Top Word Pairs in Tags by Salience]],0),FALSE)</f>
        <v>24</v>
      </c>
    </row>
    <row r="180" spans="1:3" ht="15">
      <c r="A180" s="88" t="s">
        <v>1711</v>
      </c>
      <c r="B180" s="114" t="s">
        <v>248</v>
      </c>
      <c r="C180" s="88">
        <f>VLOOKUP(GroupVertices[[#This Row],[Vertex]],Vertices[],MATCH("ID",Vertices[[#Headers],[Vertex]:[Top Word Pairs in Tags by Salience]],0),FALSE)</f>
        <v>20</v>
      </c>
    </row>
    <row r="181" spans="1:3" ht="15">
      <c r="A181" s="88" t="s">
        <v>1712</v>
      </c>
      <c r="B181" s="114" t="s">
        <v>233</v>
      </c>
      <c r="C181" s="88">
        <f>VLOOKUP(GroupVertices[[#This Row],[Vertex]],Vertices[],MATCH("ID",Vertices[[#Headers],[Vertex]:[Top Word Pairs in Tags by Salience]],0),FALSE)</f>
        <v>263</v>
      </c>
    </row>
    <row r="182" spans="1:3" ht="15">
      <c r="A182" s="88" t="s">
        <v>1712</v>
      </c>
      <c r="B182" s="114" t="s">
        <v>492</v>
      </c>
      <c r="C182" s="88">
        <f>VLOOKUP(GroupVertices[[#This Row],[Vertex]],Vertices[],MATCH("ID",Vertices[[#Headers],[Vertex]:[Top Word Pairs in Tags by Salience]],0),FALSE)</f>
        <v>282</v>
      </c>
    </row>
    <row r="183" spans="1:3" ht="15">
      <c r="A183" s="88" t="s">
        <v>1712</v>
      </c>
      <c r="B183" s="114" t="s">
        <v>491</v>
      </c>
      <c r="C183" s="88">
        <f>VLOOKUP(GroupVertices[[#This Row],[Vertex]],Vertices[],MATCH("ID",Vertices[[#Headers],[Vertex]:[Top Word Pairs in Tags by Salience]],0),FALSE)</f>
        <v>281</v>
      </c>
    </row>
    <row r="184" spans="1:3" ht="15">
      <c r="A184" s="88" t="s">
        <v>1712</v>
      </c>
      <c r="B184" s="114" t="s">
        <v>490</v>
      </c>
      <c r="C184" s="88">
        <f>VLOOKUP(GroupVertices[[#This Row],[Vertex]],Vertices[],MATCH("ID",Vertices[[#Headers],[Vertex]:[Top Word Pairs in Tags by Salience]],0),FALSE)</f>
        <v>280</v>
      </c>
    </row>
    <row r="185" spans="1:3" ht="15">
      <c r="A185" s="88" t="s">
        <v>1712</v>
      </c>
      <c r="B185" s="114" t="s">
        <v>489</v>
      </c>
      <c r="C185" s="88">
        <f>VLOOKUP(GroupVertices[[#This Row],[Vertex]],Vertices[],MATCH("ID",Vertices[[#Headers],[Vertex]:[Top Word Pairs in Tags by Salience]],0),FALSE)</f>
        <v>279</v>
      </c>
    </row>
    <row r="186" spans="1:3" ht="15">
      <c r="A186" s="88" t="s">
        <v>1712</v>
      </c>
      <c r="B186" s="114" t="s">
        <v>488</v>
      </c>
      <c r="C186" s="88">
        <f>VLOOKUP(GroupVertices[[#This Row],[Vertex]],Vertices[],MATCH("ID",Vertices[[#Headers],[Vertex]:[Top Word Pairs in Tags by Salience]],0),FALSE)</f>
        <v>278</v>
      </c>
    </row>
    <row r="187" spans="1:3" ht="15">
      <c r="A187" s="88" t="s">
        <v>1712</v>
      </c>
      <c r="B187" s="114" t="s">
        <v>487</v>
      </c>
      <c r="C187" s="88">
        <f>VLOOKUP(GroupVertices[[#This Row],[Vertex]],Vertices[],MATCH("ID",Vertices[[#Headers],[Vertex]:[Top Word Pairs in Tags by Salience]],0),FALSE)</f>
        <v>277</v>
      </c>
    </row>
    <row r="188" spans="1:3" ht="15">
      <c r="A188" s="88" t="s">
        <v>1712</v>
      </c>
      <c r="B188" s="114" t="s">
        <v>486</v>
      </c>
      <c r="C188" s="88">
        <f>VLOOKUP(GroupVertices[[#This Row],[Vertex]],Vertices[],MATCH("ID",Vertices[[#Headers],[Vertex]:[Top Word Pairs in Tags by Salience]],0),FALSE)</f>
        <v>276</v>
      </c>
    </row>
    <row r="189" spans="1:3" ht="15">
      <c r="A189" s="88" t="s">
        <v>1712</v>
      </c>
      <c r="B189" s="114" t="s">
        <v>485</v>
      </c>
      <c r="C189" s="88">
        <f>VLOOKUP(GroupVertices[[#This Row],[Vertex]],Vertices[],MATCH("ID",Vertices[[#Headers],[Vertex]:[Top Word Pairs in Tags by Salience]],0),FALSE)</f>
        <v>275</v>
      </c>
    </row>
    <row r="190" spans="1:3" ht="15">
      <c r="A190" s="88" t="s">
        <v>1712</v>
      </c>
      <c r="B190" s="114" t="s">
        <v>484</v>
      </c>
      <c r="C190" s="88">
        <f>VLOOKUP(GroupVertices[[#This Row],[Vertex]],Vertices[],MATCH("ID",Vertices[[#Headers],[Vertex]:[Top Word Pairs in Tags by Salience]],0),FALSE)</f>
        <v>274</v>
      </c>
    </row>
    <row r="191" spans="1:3" ht="15">
      <c r="A191" s="88" t="s">
        <v>1712</v>
      </c>
      <c r="B191" s="114" t="s">
        <v>483</v>
      </c>
      <c r="C191" s="88">
        <f>VLOOKUP(GroupVertices[[#This Row],[Vertex]],Vertices[],MATCH("ID",Vertices[[#Headers],[Vertex]:[Top Word Pairs in Tags by Salience]],0),FALSE)</f>
        <v>273</v>
      </c>
    </row>
    <row r="192" spans="1:3" ht="15">
      <c r="A192" s="88" t="s">
        <v>1712</v>
      </c>
      <c r="B192" s="114" t="s">
        <v>482</v>
      </c>
      <c r="C192" s="88">
        <f>VLOOKUP(GroupVertices[[#This Row],[Vertex]],Vertices[],MATCH("ID",Vertices[[#Headers],[Vertex]:[Top Word Pairs in Tags by Salience]],0),FALSE)</f>
        <v>272</v>
      </c>
    </row>
    <row r="193" spans="1:3" ht="15">
      <c r="A193" s="88" t="s">
        <v>1712</v>
      </c>
      <c r="B193" s="114" t="s">
        <v>481</v>
      </c>
      <c r="C193" s="88">
        <f>VLOOKUP(GroupVertices[[#This Row],[Vertex]],Vertices[],MATCH("ID",Vertices[[#Headers],[Vertex]:[Top Word Pairs in Tags by Salience]],0),FALSE)</f>
        <v>271</v>
      </c>
    </row>
    <row r="194" spans="1:3" ht="15">
      <c r="A194" s="88" t="s">
        <v>1712</v>
      </c>
      <c r="B194" s="114" t="s">
        <v>480</v>
      </c>
      <c r="C194" s="88">
        <f>VLOOKUP(GroupVertices[[#This Row],[Vertex]],Vertices[],MATCH("ID",Vertices[[#Headers],[Vertex]:[Top Word Pairs in Tags by Salience]],0),FALSE)</f>
        <v>270</v>
      </c>
    </row>
    <row r="195" spans="1:3" ht="15">
      <c r="A195" s="88" t="s">
        <v>1712</v>
      </c>
      <c r="B195" s="114" t="s">
        <v>479</v>
      </c>
      <c r="C195" s="88">
        <f>VLOOKUP(GroupVertices[[#This Row],[Vertex]],Vertices[],MATCH("ID",Vertices[[#Headers],[Vertex]:[Top Word Pairs in Tags by Salience]],0),FALSE)</f>
        <v>269</v>
      </c>
    </row>
    <row r="196" spans="1:3" ht="15">
      <c r="A196" s="88" t="s">
        <v>1712</v>
      </c>
      <c r="B196" s="114" t="s">
        <v>478</v>
      </c>
      <c r="C196" s="88">
        <f>VLOOKUP(GroupVertices[[#This Row],[Vertex]],Vertices[],MATCH("ID",Vertices[[#Headers],[Vertex]:[Top Word Pairs in Tags by Salience]],0),FALSE)</f>
        <v>268</v>
      </c>
    </row>
    <row r="197" spans="1:3" ht="15">
      <c r="A197" s="88" t="s">
        <v>1712</v>
      </c>
      <c r="B197" s="114" t="s">
        <v>477</v>
      </c>
      <c r="C197" s="88">
        <f>VLOOKUP(GroupVertices[[#This Row],[Vertex]],Vertices[],MATCH("ID",Vertices[[#Headers],[Vertex]:[Top Word Pairs in Tags by Salience]],0),FALSE)</f>
        <v>267</v>
      </c>
    </row>
    <row r="198" spans="1:3" ht="15">
      <c r="A198" s="88" t="s">
        <v>1712</v>
      </c>
      <c r="B198" s="114" t="s">
        <v>476</v>
      </c>
      <c r="C198" s="88">
        <f>VLOOKUP(GroupVertices[[#This Row],[Vertex]],Vertices[],MATCH("ID",Vertices[[#Headers],[Vertex]:[Top Word Pairs in Tags by Salience]],0),FALSE)</f>
        <v>266</v>
      </c>
    </row>
    <row r="199" spans="1:3" ht="15">
      <c r="A199" s="88" t="s">
        <v>1712</v>
      </c>
      <c r="B199" s="114" t="s">
        <v>475</v>
      </c>
      <c r="C199" s="88">
        <f>VLOOKUP(GroupVertices[[#This Row],[Vertex]],Vertices[],MATCH("ID",Vertices[[#Headers],[Vertex]:[Top Word Pairs in Tags by Salience]],0),FALSE)</f>
        <v>265</v>
      </c>
    </row>
    <row r="200" spans="1:3" ht="15">
      <c r="A200" s="88" t="s">
        <v>1712</v>
      </c>
      <c r="B200" s="114" t="s">
        <v>474</v>
      </c>
      <c r="C200" s="88">
        <f>VLOOKUP(GroupVertices[[#This Row],[Vertex]],Vertices[],MATCH("ID",Vertices[[#Headers],[Vertex]:[Top Word Pairs in Tags by Salience]],0),FALSE)</f>
        <v>264</v>
      </c>
    </row>
    <row r="201" spans="1:3" ht="15">
      <c r="A201" s="88" t="s">
        <v>1712</v>
      </c>
      <c r="B201" s="114" t="s">
        <v>330</v>
      </c>
      <c r="C201" s="88">
        <f>VLOOKUP(GroupVertices[[#This Row],[Vertex]],Vertices[],MATCH("ID",Vertices[[#Headers],[Vertex]:[Top Word Pairs in Tags by Salience]],0),FALSE)</f>
        <v>109</v>
      </c>
    </row>
    <row r="202" spans="1:3" ht="15">
      <c r="A202" s="88" t="s">
        <v>1713</v>
      </c>
      <c r="B202" s="114" t="s">
        <v>232</v>
      </c>
      <c r="C202" s="88">
        <f>VLOOKUP(GroupVertices[[#This Row],[Vertex]],Vertices[],MATCH("ID",Vertices[[#Headers],[Vertex]:[Top Word Pairs in Tags by Salience]],0),FALSE)</f>
        <v>243</v>
      </c>
    </row>
    <row r="203" spans="1:3" ht="15">
      <c r="A203" s="88" t="s">
        <v>1713</v>
      </c>
      <c r="B203" s="114" t="s">
        <v>473</v>
      </c>
      <c r="C203" s="88">
        <f>VLOOKUP(GroupVertices[[#This Row],[Vertex]],Vertices[],MATCH("ID",Vertices[[#Headers],[Vertex]:[Top Word Pairs in Tags by Salience]],0),FALSE)</f>
        <v>262</v>
      </c>
    </row>
    <row r="204" spans="1:3" ht="15">
      <c r="A204" s="88" t="s">
        <v>1713</v>
      </c>
      <c r="B204" s="114" t="s">
        <v>472</v>
      </c>
      <c r="C204" s="88">
        <f>VLOOKUP(GroupVertices[[#This Row],[Vertex]],Vertices[],MATCH("ID",Vertices[[#Headers],[Vertex]:[Top Word Pairs in Tags by Salience]],0),FALSE)</f>
        <v>261</v>
      </c>
    </row>
    <row r="205" spans="1:3" ht="15">
      <c r="A205" s="88" t="s">
        <v>1713</v>
      </c>
      <c r="B205" s="114" t="s">
        <v>471</v>
      </c>
      <c r="C205" s="88">
        <f>VLOOKUP(GroupVertices[[#This Row],[Vertex]],Vertices[],MATCH("ID",Vertices[[#Headers],[Vertex]:[Top Word Pairs in Tags by Salience]],0),FALSE)</f>
        <v>260</v>
      </c>
    </row>
    <row r="206" spans="1:3" ht="15">
      <c r="A206" s="88" t="s">
        <v>1713</v>
      </c>
      <c r="B206" s="114" t="s">
        <v>470</v>
      </c>
      <c r="C206" s="88">
        <f>VLOOKUP(GroupVertices[[#This Row],[Vertex]],Vertices[],MATCH("ID",Vertices[[#Headers],[Vertex]:[Top Word Pairs in Tags by Salience]],0),FALSE)</f>
        <v>259</v>
      </c>
    </row>
    <row r="207" spans="1:3" ht="15">
      <c r="A207" s="88" t="s">
        <v>1713</v>
      </c>
      <c r="B207" s="114" t="s">
        <v>469</v>
      </c>
      <c r="C207" s="88">
        <f>VLOOKUP(GroupVertices[[#This Row],[Vertex]],Vertices[],MATCH("ID",Vertices[[#Headers],[Vertex]:[Top Word Pairs in Tags by Salience]],0),FALSE)</f>
        <v>258</v>
      </c>
    </row>
    <row r="208" spans="1:3" ht="15">
      <c r="A208" s="88" t="s">
        <v>1713</v>
      </c>
      <c r="B208" s="114" t="s">
        <v>468</v>
      </c>
      <c r="C208" s="88">
        <f>VLOOKUP(GroupVertices[[#This Row],[Vertex]],Vertices[],MATCH("ID",Vertices[[#Headers],[Vertex]:[Top Word Pairs in Tags by Salience]],0),FALSE)</f>
        <v>257</v>
      </c>
    </row>
    <row r="209" spans="1:3" ht="15">
      <c r="A209" s="88" t="s">
        <v>1713</v>
      </c>
      <c r="B209" s="114" t="s">
        <v>467</v>
      </c>
      <c r="C209" s="88">
        <f>VLOOKUP(GroupVertices[[#This Row],[Vertex]],Vertices[],MATCH("ID",Vertices[[#Headers],[Vertex]:[Top Word Pairs in Tags by Salience]],0),FALSE)</f>
        <v>256</v>
      </c>
    </row>
    <row r="210" spans="1:3" ht="15">
      <c r="A210" s="88" t="s">
        <v>1713</v>
      </c>
      <c r="B210" s="114" t="s">
        <v>466</v>
      </c>
      <c r="C210" s="88">
        <f>VLOOKUP(GroupVertices[[#This Row],[Vertex]],Vertices[],MATCH("ID",Vertices[[#Headers],[Vertex]:[Top Word Pairs in Tags by Salience]],0),FALSE)</f>
        <v>255</v>
      </c>
    </row>
    <row r="211" spans="1:3" ht="15">
      <c r="A211" s="88" t="s">
        <v>1713</v>
      </c>
      <c r="B211" s="114" t="s">
        <v>465</v>
      </c>
      <c r="C211" s="88">
        <f>VLOOKUP(GroupVertices[[#This Row],[Vertex]],Vertices[],MATCH("ID",Vertices[[#Headers],[Vertex]:[Top Word Pairs in Tags by Salience]],0),FALSE)</f>
        <v>254</v>
      </c>
    </row>
    <row r="212" spans="1:3" ht="15">
      <c r="A212" s="88" t="s">
        <v>1713</v>
      </c>
      <c r="B212" s="114" t="s">
        <v>464</v>
      </c>
      <c r="C212" s="88">
        <f>VLOOKUP(GroupVertices[[#This Row],[Vertex]],Vertices[],MATCH("ID",Vertices[[#Headers],[Vertex]:[Top Word Pairs in Tags by Salience]],0),FALSE)</f>
        <v>253</v>
      </c>
    </row>
    <row r="213" spans="1:3" ht="15">
      <c r="A213" s="88" t="s">
        <v>1713</v>
      </c>
      <c r="B213" s="114" t="s">
        <v>463</v>
      </c>
      <c r="C213" s="88">
        <f>VLOOKUP(GroupVertices[[#This Row],[Vertex]],Vertices[],MATCH("ID",Vertices[[#Headers],[Vertex]:[Top Word Pairs in Tags by Salience]],0),FALSE)</f>
        <v>252</v>
      </c>
    </row>
    <row r="214" spans="1:3" ht="15">
      <c r="A214" s="88" t="s">
        <v>1713</v>
      </c>
      <c r="B214" s="114" t="s">
        <v>462</v>
      </c>
      <c r="C214" s="88">
        <f>VLOOKUP(GroupVertices[[#This Row],[Vertex]],Vertices[],MATCH("ID",Vertices[[#Headers],[Vertex]:[Top Word Pairs in Tags by Salience]],0),FALSE)</f>
        <v>251</v>
      </c>
    </row>
    <row r="215" spans="1:3" ht="15">
      <c r="A215" s="88" t="s">
        <v>1713</v>
      </c>
      <c r="B215" s="114" t="s">
        <v>461</v>
      </c>
      <c r="C215" s="88">
        <f>VLOOKUP(GroupVertices[[#This Row],[Vertex]],Vertices[],MATCH("ID",Vertices[[#Headers],[Vertex]:[Top Word Pairs in Tags by Salience]],0),FALSE)</f>
        <v>250</v>
      </c>
    </row>
    <row r="216" spans="1:3" ht="15">
      <c r="A216" s="88" t="s">
        <v>1713</v>
      </c>
      <c r="B216" s="114" t="s">
        <v>460</v>
      </c>
      <c r="C216" s="88">
        <f>VLOOKUP(GroupVertices[[#This Row],[Vertex]],Vertices[],MATCH("ID",Vertices[[#Headers],[Vertex]:[Top Word Pairs in Tags by Salience]],0),FALSE)</f>
        <v>249</v>
      </c>
    </row>
    <row r="217" spans="1:3" ht="15">
      <c r="A217" s="88" t="s">
        <v>1713</v>
      </c>
      <c r="B217" s="114" t="s">
        <v>459</v>
      </c>
      <c r="C217" s="88">
        <f>VLOOKUP(GroupVertices[[#This Row],[Vertex]],Vertices[],MATCH("ID",Vertices[[#Headers],[Vertex]:[Top Word Pairs in Tags by Salience]],0),FALSE)</f>
        <v>248</v>
      </c>
    </row>
    <row r="218" spans="1:3" ht="15">
      <c r="A218" s="88" t="s">
        <v>1713</v>
      </c>
      <c r="B218" s="114" t="s">
        <v>458</v>
      </c>
      <c r="C218" s="88">
        <f>VLOOKUP(GroupVertices[[#This Row],[Vertex]],Vertices[],MATCH("ID",Vertices[[#Headers],[Vertex]:[Top Word Pairs in Tags by Salience]],0),FALSE)</f>
        <v>247</v>
      </c>
    </row>
    <row r="219" spans="1:3" ht="15">
      <c r="A219" s="88" t="s">
        <v>1713</v>
      </c>
      <c r="B219" s="114" t="s">
        <v>457</v>
      </c>
      <c r="C219" s="88">
        <f>VLOOKUP(GroupVertices[[#This Row],[Vertex]],Vertices[],MATCH("ID",Vertices[[#Headers],[Vertex]:[Top Word Pairs in Tags by Salience]],0),FALSE)</f>
        <v>246</v>
      </c>
    </row>
    <row r="220" spans="1:3" ht="15">
      <c r="A220" s="88" t="s">
        <v>1713</v>
      </c>
      <c r="B220" s="114" t="s">
        <v>456</v>
      </c>
      <c r="C220" s="88">
        <f>VLOOKUP(GroupVertices[[#This Row],[Vertex]],Vertices[],MATCH("ID",Vertices[[#Headers],[Vertex]:[Top Word Pairs in Tags by Salience]],0),FALSE)</f>
        <v>245</v>
      </c>
    </row>
    <row r="221" spans="1:3" ht="15">
      <c r="A221" s="88" t="s">
        <v>1713</v>
      </c>
      <c r="B221" s="114" t="s">
        <v>455</v>
      </c>
      <c r="C221" s="88">
        <f>VLOOKUP(GroupVertices[[#This Row],[Vertex]],Vertices[],MATCH("ID",Vertices[[#Headers],[Vertex]:[Top Word Pairs in Tags by Salience]],0),FALSE)</f>
        <v>244</v>
      </c>
    </row>
    <row r="222" spans="1:3" ht="15">
      <c r="A222" s="88" t="s">
        <v>1713</v>
      </c>
      <c r="B222" s="114" t="s">
        <v>246</v>
      </c>
      <c r="C222" s="88">
        <f>VLOOKUP(GroupVertices[[#This Row],[Vertex]],Vertices[],MATCH("ID",Vertices[[#Headers],[Vertex]:[Top Word Pairs in Tags by Salience]],0),FALSE)</f>
        <v>18</v>
      </c>
    </row>
    <row r="223" spans="1:3" ht="15">
      <c r="A223" s="88" t="s">
        <v>1714</v>
      </c>
      <c r="B223" s="114" t="s">
        <v>231</v>
      </c>
      <c r="C223" s="88">
        <f>VLOOKUP(GroupVertices[[#This Row],[Vertex]],Vertices[],MATCH("ID",Vertices[[#Headers],[Vertex]:[Top Word Pairs in Tags by Salience]],0),FALSE)</f>
        <v>223</v>
      </c>
    </row>
    <row r="224" spans="1:3" ht="15">
      <c r="A224" s="88" t="s">
        <v>1714</v>
      </c>
      <c r="B224" s="114" t="s">
        <v>454</v>
      </c>
      <c r="C224" s="88">
        <f>VLOOKUP(GroupVertices[[#This Row],[Vertex]],Vertices[],MATCH("ID",Vertices[[#Headers],[Vertex]:[Top Word Pairs in Tags by Salience]],0),FALSE)</f>
        <v>242</v>
      </c>
    </row>
    <row r="225" spans="1:3" ht="15">
      <c r="A225" s="88" t="s">
        <v>1714</v>
      </c>
      <c r="B225" s="114" t="s">
        <v>453</v>
      </c>
      <c r="C225" s="88">
        <f>VLOOKUP(GroupVertices[[#This Row],[Vertex]],Vertices[],MATCH("ID",Vertices[[#Headers],[Vertex]:[Top Word Pairs in Tags by Salience]],0),FALSE)</f>
        <v>241</v>
      </c>
    </row>
    <row r="226" spans="1:3" ht="15">
      <c r="A226" s="88" t="s">
        <v>1714</v>
      </c>
      <c r="B226" s="114" t="s">
        <v>452</v>
      </c>
      <c r="C226" s="88">
        <f>VLOOKUP(GroupVertices[[#This Row],[Vertex]],Vertices[],MATCH("ID",Vertices[[#Headers],[Vertex]:[Top Word Pairs in Tags by Salience]],0),FALSE)</f>
        <v>240</v>
      </c>
    </row>
    <row r="227" spans="1:3" ht="15">
      <c r="A227" s="88" t="s">
        <v>1714</v>
      </c>
      <c r="B227" s="114" t="s">
        <v>451</v>
      </c>
      <c r="C227" s="88">
        <f>VLOOKUP(GroupVertices[[#This Row],[Vertex]],Vertices[],MATCH("ID",Vertices[[#Headers],[Vertex]:[Top Word Pairs in Tags by Salience]],0),FALSE)</f>
        <v>239</v>
      </c>
    </row>
    <row r="228" spans="1:3" ht="15">
      <c r="A228" s="88" t="s">
        <v>1714</v>
      </c>
      <c r="B228" s="114" t="s">
        <v>450</v>
      </c>
      <c r="C228" s="88">
        <f>VLOOKUP(GroupVertices[[#This Row],[Vertex]],Vertices[],MATCH("ID",Vertices[[#Headers],[Vertex]:[Top Word Pairs in Tags by Salience]],0),FALSE)</f>
        <v>238</v>
      </c>
    </row>
    <row r="229" spans="1:3" ht="15">
      <c r="A229" s="88" t="s">
        <v>1714</v>
      </c>
      <c r="B229" s="114" t="s">
        <v>449</v>
      </c>
      <c r="C229" s="88">
        <f>VLOOKUP(GroupVertices[[#This Row],[Vertex]],Vertices[],MATCH("ID",Vertices[[#Headers],[Vertex]:[Top Word Pairs in Tags by Salience]],0),FALSE)</f>
        <v>237</v>
      </c>
    </row>
    <row r="230" spans="1:3" ht="15">
      <c r="A230" s="88" t="s">
        <v>1714</v>
      </c>
      <c r="B230" s="114" t="s">
        <v>448</v>
      </c>
      <c r="C230" s="88">
        <f>VLOOKUP(GroupVertices[[#This Row],[Vertex]],Vertices[],MATCH("ID",Vertices[[#Headers],[Vertex]:[Top Word Pairs in Tags by Salience]],0),FALSE)</f>
        <v>236</v>
      </c>
    </row>
    <row r="231" spans="1:3" ht="15">
      <c r="A231" s="88" t="s">
        <v>1714</v>
      </c>
      <c r="B231" s="114" t="s">
        <v>447</v>
      </c>
      <c r="C231" s="88">
        <f>VLOOKUP(GroupVertices[[#This Row],[Vertex]],Vertices[],MATCH("ID",Vertices[[#Headers],[Vertex]:[Top Word Pairs in Tags by Salience]],0),FALSE)</f>
        <v>235</v>
      </c>
    </row>
    <row r="232" spans="1:3" ht="15">
      <c r="A232" s="88" t="s">
        <v>1714</v>
      </c>
      <c r="B232" s="114" t="s">
        <v>446</v>
      </c>
      <c r="C232" s="88">
        <f>VLOOKUP(GroupVertices[[#This Row],[Vertex]],Vertices[],MATCH("ID",Vertices[[#Headers],[Vertex]:[Top Word Pairs in Tags by Salience]],0),FALSE)</f>
        <v>234</v>
      </c>
    </row>
    <row r="233" spans="1:3" ht="15">
      <c r="A233" s="88" t="s">
        <v>1714</v>
      </c>
      <c r="B233" s="114" t="s">
        <v>445</v>
      </c>
      <c r="C233" s="88">
        <f>VLOOKUP(GroupVertices[[#This Row],[Vertex]],Vertices[],MATCH("ID",Vertices[[#Headers],[Vertex]:[Top Word Pairs in Tags by Salience]],0),FALSE)</f>
        <v>233</v>
      </c>
    </row>
    <row r="234" spans="1:3" ht="15">
      <c r="A234" s="88" t="s">
        <v>1714</v>
      </c>
      <c r="B234" s="114" t="s">
        <v>444</v>
      </c>
      <c r="C234" s="88">
        <f>VLOOKUP(GroupVertices[[#This Row],[Vertex]],Vertices[],MATCH("ID",Vertices[[#Headers],[Vertex]:[Top Word Pairs in Tags by Salience]],0),FALSE)</f>
        <v>232</v>
      </c>
    </row>
    <row r="235" spans="1:3" ht="15">
      <c r="A235" s="88" t="s">
        <v>1714</v>
      </c>
      <c r="B235" s="114" t="s">
        <v>443</v>
      </c>
      <c r="C235" s="88">
        <f>VLOOKUP(GroupVertices[[#This Row],[Vertex]],Vertices[],MATCH("ID",Vertices[[#Headers],[Vertex]:[Top Word Pairs in Tags by Salience]],0),FALSE)</f>
        <v>231</v>
      </c>
    </row>
    <row r="236" spans="1:3" ht="15">
      <c r="A236" s="88" t="s">
        <v>1714</v>
      </c>
      <c r="B236" s="114" t="s">
        <v>442</v>
      </c>
      <c r="C236" s="88">
        <f>VLOOKUP(GroupVertices[[#This Row],[Vertex]],Vertices[],MATCH("ID",Vertices[[#Headers],[Vertex]:[Top Word Pairs in Tags by Salience]],0),FALSE)</f>
        <v>230</v>
      </c>
    </row>
    <row r="237" spans="1:3" ht="15">
      <c r="A237" s="88" t="s">
        <v>1714</v>
      </c>
      <c r="B237" s="114" t="s">
        <v>441</v>
      </c>
      <c r="C237" s="88">
        <f>VLOOKUP(GroupVertices[[#This Row],[Vertex]],Vertices[],MATCH("ID",Vertices[[#Headers],[Vertex]:[Top Word Pairs in Tags by Salience]],0),FALSE)</f>
        <v>229</v>
      </c>
    </row>
    <row r="238" spans="1:3" ht="15">
      <c r="A238" s="88" t="s">
        <v>1714</v>
      </c>
      <c r="B238" s="114" t="s">
        <v>440</v>
      </c>
      <c r="C238" s="88">
        <f>VLOOKUP(GroupVertices[[#This Row],[Vertex]],Vertices[],MATCH("ID",Vertices[[#Headers],[Vertex]:[Top Word Pairs in Tags by Salience]],0),FALSE)</f>
        <v>228</v>
      </c>
    </row>
    <row r="239" spans="1:3" ht="15">
      <c r="A239" s="88" t="s">
        <v>1714</v>
      </c>
      <c r="B239" s="114" t="s">
        <v>439</v>
      </c>
      <c r="C239" s="88">
        <f>VLOOKUP(GroupVertices[[#This Row],[Vertex]],Vertices[],MATCH("ID",Vertices[[#Headers],[Vertex]:[Top Word Pairs in Tags by Salience]],0),FALSE)</f>
        <v>227</v>
      </c>
    </row>
    <row r="240" spans="1:3" ht="15">
      <c r="A240" s="88" t="s">
        <v>1714</v>
      </c>
      <c r="B240" s="114" t="s">
        <v>438</v>
      </c>
      <c r="C240" s="88">
        <f>VLOOKUP(GroupVertices[[#This Row],[Vertex]],Vertices[],MATCH("ID",Vertices[[#Headers],[Vertex]:[Top Word Pairs in Tags by Salience]],0),FALSE)</f>
        <v>226</v>
      </c>
    </row>
    <row r="241" spans="1:3" ht="15">
      <c r="A241" s="88" t="s">
        <v>1714</v>
      </c>
      <c r="B241" s="114" t="s">
        <v>437</v>
      </c>
      <c r="C241" s="88">
        <f>VLOOKUP(GroupVertices[[#This Row],[Vertex]],Vertices[],MATCH("ID",Vertices[[#Headers],[Vertex]:[Top Word Pairs in Tags by Salience]],0),FALSE)</f>
        <v>225</v>
      </c>
    </row>
    <row r="242" spans="1:3" ht="15">
      <c r="A242" s="88" t="s">
        <v>1714</v>
      </c>
      <c r="B242" s="114" t="s">
        <v>436</v>
      </c>
      <c r="C242" s="88">
        <f>VLOOKUP(GroupVertices[[#This Row],[Vertex]],Vertices[],MATCH("ID",Vertices[[#Headers],[Vertex]:[Top Word Pairs in Tags by Salience]],0),FALSE)</f>
        <v>224</v>
      </c>
    </row>
    <row r="243" spans="1:3" ht="15">
      <c r="A243" s="88" t="s">
        <v>1714</v>
      </c>
      <c r="B243" s="114" t="s">
        <v>335</v>
      </c>
      <c r="C243" s="88">
        <f>VLOOKUP(GroupVertices[[#This Row],[Vertex]],Vertices[],MATCH("ID",Vertices[[#Headers],[Vertex]:[Top Word Pairs in Tags by Salience]],0),FALSE)</f>
        <v>115</v>
      </c>
    </row>
    <row r="244" spans="1:3" ht="15">
      <c r="A244" s="88" t="s">
        <v>1715</v>
      </c>
      <c r="B244" s="114" t="s">
        <v>228</v>
      </c>
      <c r="C244" s="88">
        <f>VLOOKUP(GroupVertices[[#This Row],[Vertex]],Vertices[],MATCH("ID",Vertices[[#Headers],[Vertex]:[Top Word Pairs in Tags by Salience]],0),FALSE)</f>
        <v>151</v>
      </c>
    </row>
    <row r="245" spans="1:3" ht="15">
      <c r="A245" s="88" t="s">
        <v>1715</v>
      </c>
      <c r="B245" s="114" t="s">
        <v>418</v>
      </c>
      <c r="C245" s="88">
        <f>VLOOKUP(GroupVertices[[#This Row],[Vertex]],Vertices[],MATCH("ID",Vertices[[#Headers],[Vertex]:[Top Word Pairs in Tags by Salience]],0),FALSE)</f>
        <v>204</v>
      </c>
    </row>
    <row r="246" spans="1:3" ht="15">
      <c r="A246" s="88" t="s">
        <v>1715</v>
      </c>
      <c r="B246" s="114" t="s">
        <v>417</v>
      </c>
      <c r="C246" s="88">
        <f>VLOOKUP(GroupVertices[[#This Row],[Vertex]],Vertices[],MATCH("ID",Vertices[[#Headers],[Vertex]:[Top Word Pairs in Tags by Salience]],0),FALSE)</f>
        <v>203</v>
      </c>
    </row>
    <row r="247" spans="1:3" ht="15">
      <c r="A247" s="88" t="s">
        <v>1715</v>
      </c>
      <c r="B247" s="114" t="s">
        <v>416</v>
      </c>
      <c r="C247" s="88">
        <f>VLOOKUP(GroupVertices[[#This Row],[Vertex]],Vertices[],MATCH("ID",Vertices[[#Headers],[Vertex]:[Top Word Pairs in Tags by Salience]],0),FALSE)</f>
        <v>202</v>
      </c>
    </row>
    <row r="248" spans="1:3" ht="15">
      <c r="A248" s="88" t="s">
        <v>1715</v>
      </c>
      <c r="B248" s="114" t="s">
        <v>415</v>
      </c>
      <c r="C248" s="88">
        <f>VLOOKUP(GroupVertices[[#This Row],[Vertex]],Vertices[],MATCH("ID",Vertices[[#Headers],[Vertex]:[Top Word Pairs in Tags by Salience]],0),FALSE)</f>
        <v>201</v>
      </c>
    </row>
    <row r="249" spans="1:3" ht="15">
      <c r="A249" s="88" t="s">
        <v>1715</v>
      </c>
      <c r="B249" s="114" t="s">
        <v>414</v>
      </c>
      <c r="C249" s="88">
        <f>VLOOKUP(GroupVertices[[#This Row],[Vertex]],Vertices[],MATCH("ID",Vertices[[#Headers],[Vertex]:[Top Word Pairs in Tags by Salience]],0),FALSE)</f>
        <v>200</v>
      </c>
    </row>
    <row r="250" spans="1:3" ht="15">
      <c r="A250" s="88" t="s">
        <v>1715</v>
      </c>
      <c r="B250" s="114" t="s">
        <v>413</v>
      </c>
      <c r="C250" s="88">
        <f>VLOOKUP(GroupVertices[[#This Row],[Vertex]],Vertices[],MATCH("ID",Vertices[[#Headers],[Vertex]:[Top Word Pairs in Tags by Salience]],0),FALSE)</f>
        <v>199</v>
      </c>
    </row>
    <row r="251" spans="1:3" ht="15">
      <c r="A251" s="88" t="s">
        <v>1715</v>
      </c>
      <c r="B251" s="114" t="s">
        <v>412</v>
      </c>
      <c r="C251" s="88">
        <f>VLOOKUP(GroupVertices[[#This Row],[Vertex]],Vertices[],MATCH("ID",Vertices[[#Headers],[Vertex]:[Top Word Pairs in Tags by Salience]],0),FALSE)</f>
        <v>198</v>
      </c>
    </row>
    <row r="252" spans="1:3" ht="15">
      <c r="A252" s="88" t="s">
        <v>1715</v>
      </c>
      <c r="B252" s="114" t="s">
        <v>411</v>
      </c>
      <c r="C252" s="88">
        <f>VLOOKUP(GroupVertices[[#This Row],[Vertex]],Vertices[],MATCH("ID",Vertices[[#Headers],[Vertex]:[Top Word Pairs in Tags by Salience]],0),FALSE)</f>
        <v>197</v>
      </c>
    </row>
    <row r="253" spans="1:3" ht="15">
      <c r="A253" s="88" t="s">
        <v>1715</v>
      </c>
      <c r="B253" s="114" t="s">
        <v>410</v>
      </c>
      <c r="C253" s="88">
        <f>VLOOKUP(GroupVertices[[#This Row],[Vertex]],Vertices[],MATCH("ID",Vertices[[#Headers],[Vertex]:[Top Word Pairs in Tags by Salience]],0),FALSE)</f>
        <v>196</v>
      </c>
    </row>
    <row r="254" spans="1:3" ht="15">
      <c r="A254" s="88" t="s">
        <v>1715</v>
      </c>
      <c r="B254" s="114" t="s">
        <v>409</v>
      </c>
      <c r="C254" s="88">
        <f>VLOOKUP(GroupVertices[[#This Row],[Vertex]],Vertices[],MATCH("ID",Vertices[[#Headers],[Vertex]:[Top Word Pairs in Tags by Salience]],0),FALSE)</f>
        <v>195</v>
      </c>
    </row>
    <row r="255" spans="1:3" ht="15">
      <c r="A255" s="88" t="s">
        <v>1715</v>
      </c>
      <c r="B255" s="114" t="s">
        <v>408</v>
      </c>
      <c r="C255" s="88">
        <f>VLOOKUP(GroupVertices[[#This Row],[Vertex]],Vertices[],MATCH("ID",Vertices[[#Headers],[Vertex]:[Top Word Pairs in Tags by Salience]],0),FALSE)</f>
        <v>194</v>
      </c>
    </row>
    <row r="256" spans="1:3" ht="15">
      <c r="A256" s="88" t="s">
        <v>1715</v>
      </c>
      <c r="B256" s="114" t="s">
        <v>407</v>
      </c>
      <c r="C256" s="88">
        <f>VLOOKUP(GroupVertices[[#This Row],[Vertex]],Vertices[],MATCH("ID",Vertices[[#Headers],[Vertex]:[Top Word Pairs in Tags by Salience]],0),FALSE)</f>
        <v>193</v>
      </c>
    </row>
    <row r="257" spans="1:3" ht="15">
      <c r="A257" s="88" t="s">
        <v>1715</v>
      </c>
      <c r="B257" s="114" t="s">
        <v>406</v>
      </c>
      <c r="C257" s="88">
        <f>VLOOKUP(GroupVertices[[#This Row],[Vertex]],Vertices[],MATCH("ID",Vertices[[#Headers],[Vertex]:[Top Word Pairs in Tags by Salience]],0),FALSE)</f>
        <v>192</v>
      </c>
    </row>
    <row r="258" spans="1:3" ht="15">
      <c r="A258" s="88" t="s">
        <v>1715</v>
      </c>
      <c r="B258" s="114" t="s">
        <v>405</v>
      </c>
      <c r="C258" s="88">
        <f>VLOOKUP(GroupVertices[[#This Row],[Vertex]],Vertices[],MATCH("ID",Vertices[[#Headers],[Vertex]:[Top Word Pairs in Tags by Salience]],0),FALSE)</f>
        <v>191</v>
      </c>
    </row>
    <row r="259" spans="1:3" ht="15">
      <c r="A259" s="88" t="s">
        <v>1715</v>
      </c>
      <c r="B259" s="114" t="s">
        <v>404</v>
      </c>
      <c r="C259" s="88">
        <f>VLOOKUP(GroupVertices[[#This Row],[Vertex]],Vertices[],MATCH("ID",Vertices[[#Headers],[Vertex]:[Top Word Pairs in Tags by Salience]],0),FALSE)</f>
        <v>190</v>
      </c>
    </row>
    <row r="260" spans="1:3" ht="15">
      <c r="A260" s="88" t="s">
        <v>1715</v>
      </c>
      <c r="B260" s="114" t="s">
        <v>403</v>
      </c>
      <c r="C260" s="88">
        <f>VLOOKUP(GroupVertices[[#This Row],[Vertex]],Vertices[],MATCH("ID",Vertices[[#Headers],[Vertex]:[Top Word Pairs in Tags by Salience]],0),FALSE)</f>
        <v>189</v>
      </c>
    </row>
    <row r="261" spans="1:3" ht="15">
      <c r="A261" s="88" t="s">
        <v>1715</v>
      </c>
      <c r="B261" s="114" t="s">
        <v>402</v>
      </c>
      <c r="C261" s="88">
        <f>VLOOKUP(GroupVertices[[#This Row],[Vertex]],Vertices[],MATCH("ID",Vertices[[#Headers],[Vertex]:[Top Word Pairs in Tags by Salience]],0),FALSE)</f>
        <v>188</v>
      </c>
    </row>
    <row r="262" spans="1:3" ht="15">
      <c r="A262" s="88" t="s">
        <v>1715</v>
      </c>
      <c r="B262" s="114" t="s">
        <v>401</v>
      </c>
      <c r="C262" s="88">
        <f>VLOOKUP(GroupVertices[[#This Row],[Vertex]],Vertices[],MATCH("ID",Vertices[[#Headers],[Vertex]:[Top Word Pairs in Tags by Salience]],0),FALSE)</f>
        <v>187</v>
      </c>
    </row>
    <row r="263" spans="1:3" ht="15">
      <c r="A263" s="88" t="s">
        <v>1715</v>
      </c>
      <c r="B263" s="114" t="s">
        <v>400</v>
      </c>
      <c r="C263" s="88">
        <f>VLOOKUP(GroupVertices[[#This Row],[Vertex]],Vertices[],MATCH("ID",Vertices[[#Headers],[Vertex]:[Top Word Pairs in Tags by Salience]],0),FALSE)</f>
        <v>186</v>
      </c>
    </row>
    <row r="264" spans="1:3" ht="15">
      <c r="A264" s="88" t="s">
        <v>1715</v>
      </c>
      <c r="B264" s="114" t="s">
        <v>399</v>
      </c>
      <c r="C264" s="88">
        <f>VLOOKUP(GroupVertices[[#This Row],[Vertex]],Vertices[],MATCH("ID",Vertices[[#Headers],[Vertex]:[Top Word Pairs in Tags by Salience]],0),FALSE)</f>
        <v>185</v>
      </c>
    </row>
    <row r="265" spans="1:3" ht="15">
      <c r="A265" s="88" t="s">
        <v>1716</v>
      </c>
      <c r="B265" s="114" t="s">
        <v>227</v>
      </c>
      <c r="C265" s="88">
        <f>VLOOKUP(GroupVertices[[#This Row],[Vertex]],Vertices[],MATCH("ID",Vertices[[#Headers],[Vertex]:[Top Word Pairs in Tags by Salience]],0),FALSE)</f>
        <v>167</v>
      </c>
    </row>
    <row r="266" spans="1:3" ht="15">
      <c r="A266" s="88" t="s">
        <v>1716</v>
      </c>
      <c r="B266" s="114" t="s">
        <v>397</v>
      </c>
      <c r="C266" s="88">
        <f>VLOOKUP(GroupVertices[[#This Row],[Vertex]],Vertices[],MATCH("ID",Vertices[[#Headers],[Vertex]:[Top Word Pairs in Tags by Salience]],0),FALSE)</f>
        <v>183</v>
      </c>
    </row>
    <row r="267" spans="1:3" ht="15">
      <c r="A267" s="88" t="s">
        <v>1716</v>
      </c>
      <c r="B267" s="114" t="s">
        <v>396</v>
      </c>
      <c r="C267" s="88">
        <f>VLOOKUP(GroupVertices[[#This Row],[Vertex]],Vertices[],MATCH("ID",Vertices[[#Headers],[Vertex]:[Top Word Pairs in Tags by Salience]],0),FALSE)</f>
        <v>182</v>
      </c>
    </row>
    <row r="268" spans="1:3" ht="15">
      <c r="A268" s="88" t="s">
        <v>1716</v>
      </c>
      <c r="B268" s="114" t="s">
        <v>395</v>
      </c>
      <c r="C268" s="88">
        <f>VLOOKUP(GroupVertices[[#This Row],[Vertex]],Vertices[],MATCH("ID",Vertices[[#Headers],[Vertex]:[Top Word Pairs in Tags by Salience]],0),FALSE)</f>
        <v>181</v>
      </c>
    </row>
    <row r="269" spans="1:3" ht="15">
      <c r="A269" s="88" t="s">
        <v>1716</v>
      </c>
      <c r="B269" s="114" t="s">
        <v>394</v>
      </c>
      <c r="C269" s="88">
        <f>VLOOKUP(GroupVertices[[#This Row],[Vertex]],Vertices[],MATCH("ID",Vertices[[#Headers],[Vertex]:[Top Word Pairs in Tags by Salience]],0),FALSE)</f>
        <v>180</v>
      </c>
    </row>
    <row r="270" spans="1:3" ht="15">
      <c r="A270" s="88" t="s">
        <v>1716</v>
      </c>
      <c r="B270" s="114" t="s">
        <v>393</v>
      </c>
      <c r="C270" s="88">
        <f>VLOOKUP(GroupVertices[[#This Row],[Vertex]],Vertices[],MATCH("ID",Vertices[[#Headers],[Vertex]:[Top Word Pairs in Tags by Salience]],0),FALSE)</f>
        <v>179</v>
      </c>
    </row>
    <row r="271" spans="1:3" ht="15">
      <c r="A271" s="88" t="s">
        <v>1716</v>
      </c>
      <c r="B271" s="114" t="s">
        <v>392</v>
      </c>
      <c r="C271" s="88">
        <f>VLOOKUP(GroupVertices[[#This Row],[Vertex]],Vertices[],MATCH("ID",Vertices[[#Headers],[Vertex]:[Top Word Pairs in Tags by Salience]],0),FALSE)</f>
        <v>178</v>
      </c>
    </row>
    <row r="272" spans="1:3" ht="15">
      <c r="A272" s="88" t="s">
        <v>1716</v>
      </c>
      <c r="B272" s="114" t="s">
        <v>391</v>
      </c>
      <c r="C272" s="88">
        <f>VLOOKUP(GroupVertices[[#This Row],[Vertex]],Vertices[],MATCH("ID",Vertices[[#Headers],[Vertex]:[Top Word Pairs in Tags by Salience]],0),FALSE)</f>
        <v>177</v>
      </c>
    </row>
    <row r="273" spans="1:3" ht="15">
      <c r="A273" s="88" t="s">
        <v>1716</v>
      </c>
      <c r="B273" s="114" t="s">
        <v>390</v>
      </c>
      <c r="C273" s="88">
        <f>VLOOKUP(GroupVertices[[#This Row],[Vertex]],Vertices[],MATCH("ID",Vertices[[#Headers],[Vertex]:[Top Word Pairs in Tags by Salience]],0),FALSE)</f>
        <v>176</v>
      </c>
    </row>
    <row r="274" spans="1:3" ht="15">
      <c r="A274" s="88" t="s">
        <v>1716</v>
      </c>
      <c r="B274" s="114" t="s">
        <v>389</v>
      </c>
      <c r="C274" s="88">
        <f>VLOOKUP(GroupVertices[[#This Row],[Vertex]],Vertices[],MATCH("ID",Vertices[[#Headers],[Vertex]:[Top Word Pairs in Tags by Salience]],0),FALSE)</f>
        <v>175</v>
      </c>
    </row>
    <row r="275" spans="1:3" ht="15">
      <c r="A275" s="88" t="s">
        <v>1716</v>
      </c>
      <c r="B275" s="114" t="s">
        <v>388</v>
      </c>
      <c r="C275" s="88">
        <f>VLOOKUP(GroupVertices[[#This Row],[Vertex]],Vertices[],MATCH("ID",Vertices[[#Headers],[Vertex]:[Top Word Pairs in Tags by Salience]],0),FALSE)</f>
        <v>174</v>
      </c>
    </row>
    <row r="276" spans="1:3" ht="15">
      <c r="A276" s="88" t="s">
        <v>1716</v>
      </c>
      <c r="B276" s="114" t="s">
        <v>387</v>
      </c>
      <c r="C276" s="88">
        <f>VLOOKUP(GroupVertices[[#This Row],[Vertex]],Vertices[],MATCH("ID",Vertices[[#Headers],[Vertex]:[Top Word Pairs in Tags by Salience]],0),FALSE)</f>
        <v>173</v>
      </c>
    </row>
    <row r="277" spans="1:3" ht="15">
      <c r="A277" s="88" t="s">
        <v>1716</v>
      </c>
      <c r="B277" s="114" t="s">
        <v>386</v>
      </c>
      <c r="C277" s="88">
        <f>VLOOKUP(GroupVertices[[#This Row],[Vertex]],Vertices[],MATCH("ID",Vertices[[#Headers],[Vertex]:[Top Word Pairs in Tags by Salience]],0),FALSE)</f>
        <v>172</v>
      </c>
    </row>
    <row r="278" spans="1:3" ht="15">
      <c r="A278" s="88" t="s">
        <v>1716</v>
      </c>
      <c r="B278" s="114" t="s">
        <v>385</v>
      </c>
      <c r="C278" s="88">
        <f>VLOOKUP(GroupVertices[[#This Row],[Vertex]],Vertices[],MATCH("ID",Vertices[[#Headers],[Vertex]:[Top Word Pairs in Tags by Salience]],0),FALSE)</f>
        <v>171</v>
      </c>
    </row>
    <row r="279" spans="1:3" ht="15">
      <c r="A279" s="88" t="s">
        <v>1716</v>
      </c>
      <c r="B279" s="114" t="s">
        <v>384</v>
      </c>
      <c r="C279" s="88">
        <f>VLOOKUP(GroupVertices[[#This Row],[Vertex]],Vertices[],MATCH("ID",Vertices[[#Headers],[Vertex]:[Top Word Pairs in Tags by Salience]],0),FALSE)</f>
        <v>170</v>
      </c>
    </row>
    <row r="280" spans="1:3" ht="15">
      <c r="A280" s="88" t="s">
        <v>1716</v>
      </c>
      <c r="B280" s="114" t="s">
        <v>383</v>
      </c>
      <c r="C280" s="88">
        <f>VLOOKUP(GroupVertices[[#This Row],[Vertex]],Vertices[],MATCH("ID",Vertices[[#Headers],[Vertex]:[Top Word Pairs in Tags by Salience]],0),FALSE)</f>
        <v>169</v>
      </c>
    </row>
    <row r="281" spans="1:3" ht="15">
      <c r="A281" s="88" t="s">
        <v>1716</v>
      </c>
      <c r="B281" s="114" t="s">
        <v>382</v>
      </c>
      <c r="C281" s="88">
        <f>VLOOKUP(GroupVertices[[#This Row],[Vertex]],Vertices[],MATCH("ID",Vertices[[#Headers],[Vertex]:[Top Word Pairs in Tags by Salience]],0),FALSE)</f>
        <v>168</v>
      </c>
    </row>
  </sheetData>
  <dataValidations count="3" xWindow="58" yWindow="226">
    <dataValidation allowBlank="1" showInputMessage="1" showErrorMessage="1" promptTitle="Group Name" prompt="Enter the name of the group.  The group name must also be entered on the Groups worksheet." sqref="A2:A281"/>
    <dataValidation allowBlank="1" showInputMessage="1" showErrorMessage="1" promptTitle="Vertex Name" prompt="Enter the name of a vertex to include in the group." sqref="B2:B281"/>
    <dataValidation allowBlank="1" showInputMessage="1" promptTitle="Vertex ID" prompt="This is the value of the hidden ID cell in the Vertices worksheet.  It gets filled in by the items on the NodeXL, Analysis, Groups menu." sqref="C2:C2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2586</v>
      </c>
      <c r="B2" s="34" t="s">
        <v>192</v>
      </c>
      <c r="D2" s="31">
        <f>MIN(Vertices[Degree])</f>
        <v>0</v>
      </c>
      <c r="E2" s="3">
        <f>COUNTIF(Vertices[Degree],"&gt;= "&amp;D2)-COUNTIF(Vertices[Degree],"&gt;="&amp;D3)</f>
        <v>0</v>
      </c>
      <c r="F2" s="37">
        <f>MIN(Vertices[In-Degree])</f>
        <v>0</v>
      </c>
      <c r="G2" s="38">
        <f>COUNTIF(Vertices[In-Degree],"&gt;= "&amp;F2)-COUNTIF(Vertices[In-Degree],"&gt;="&amp;F3)</f>
        <v>12</v>
      </c>
      <c r="H2" s="37">
        <f>MIN(Vertices[Out-Degree])</f>
        <v>0</v>
      </c>
      <c r="I2" s="38">
        <f>COUNTIF(Vertices[Out-Degree],"&gt;= "&amp;H2)-COUNTIF(Vertices[Out-Degree],"&gt;="&amp;H3)</f>
        <v>260</v>
      </c>
      <c r="J2" s="37">
        <f>MIN(Vertices[Betweenness Centrality])</f>
        <v>0</v>
      </c>
      <c r="K2" s="38">
        <f>COUNTIF(Vertices[Betweenness Centrality],"&gt;= "&amp;J2)-COUNTIF(Vertices[Betweenness Centrality],"&gt;="&amp;J3)</f>
        <v>241</v>
      </c>
      <c r="L2" s="37">
        <f>MIN(Vertices[Closeness Centrality])</f>
        <v>0.000588</v>
      </c>
      <c r="M2" s="38">
        <f>COUNTIF(Vertices[Closeness Centrality],"&gt;= "&amp;L2)-COUNTIF(Vertices[Closeness Centrality],"&gt;="&amp;L3)</f>
        <v>38</v>
      </c>
      <c r="N2" s="37">
        <f>MIN(Vertices[Eigenvector Centrality])</f>
        <v>1.1E-05</v>
      </c>
      <c r="O2" s="38">
        <f>COUNTIF(Vertices[Eigenvector Centrality],"&gt;= "&amp;N2)-COUNTIF(Vertices[Eigenvector Centrality],"&gt;="&amp;N3)</f>
        <v>114</v>
      </c>
      <c r="P2" s="37">
        <f>MIN(Vertices[PageRank])</f>
        <v>0.351912</v>
      </c>
      <c r="Q2" s="38">
        <f>COUNTIF(Vertices[PageRank],"&gt;= "&amp;P2)-COUNTIF(Vertices[PageRank],"&gt;="&amp;P3)</f>
        <v>162</v>
      </c>
      <c r="R2" s="37">
        <f>MIN(Vertices[Clustering Coefficient])</f>
        <v>0</v>
      </c>
      <c r="S2" s="43">
        <f>COUNTIF(Vertices[Clustering Coefficient],"&gt;= "&amp;R2)-COUNTIF(Vertices[Clustering Coefficient],"&gt;="&amp;R3)</f>
        <v>238</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0"/>
      <c r="B3" s="120"/>
      <c r="D3" s="32">
        <f aca="true" t="shared" si="1" ref="D3:D26">D2+($D$50-$D$2)/BinDivisor</f>
        <v>0</v>
      </c>
      <c r="E3" s="3">
        <f>COUNTIF(Vertices[Degree],"&gt;= "&amp;D3)-COUNTIF(Vertices[Degree],"&gt;="&amp;D4)</f>
        <v>0</v>
      </c>
      <c r="F3" s="39">
        <f aca="true" t="shared" si="2" ref="F3:F26">F2+($F$50-$F$2)/BinDivisor</f>
        <v>0.22916666666666666</v>
      </c>
      <c r="G3" s="40">
        <f>COUNTIF(Vertices[In-Degree],"&gt;= "&amp;F3)-COUNTIF(Vertices[In-Degree],"&gt;="&amp;F4)</f>
        <v>0</v>
      </c>
      <c r="H3" s="39">
        <f aca="true" t="shared" si="3" ref="H3:H26">H2+($H$50-$H$2)/BinDivisor</f>
        <v>0.4166666666666667</v>
      </c>
      <c r="I3" s="40">
        <f>COUNTIF(Vertices[Out-Degree],"&gt;= "&amp;H3)-COUNTIF(Vertices[Out-Degree],"&gt;="&amp;H4)</f>
        <v>0</v>
      </c>
      <c r="J3" s="39">
        <f aca="true" t="shared" si="4" ref="J3:J26">J2+($J$50-$J$2)/BinDivisor</f>
        <v>456.0852967083333</v>
      </c>
      <c r="K3" s="40">
        <f>COUNTIF(Vertices[Betweenness Centrality],"&gt;= "&amp;J3)-COUNTIF(Vertices[Betweenness Centrality],"&gt;="&amp;J4)</f>
        <v>3</v>
      </c>
      <c r="L3" s="39">
        <f aca="true" t="shared" si="5" ref="L3:L26">L2+($L$50-$L$2)/BinDivisor</f>
        <v>0.00060175</v>
      </c>
      <c r="M3" s="40">
        <f>COUNTIF(Vertices[Closeness Centrality],"&gt;= "&amp;L3)-COUNTIF(Vertices[Closeness Centrality],"&gt;="&amp;L4)</f>
        <v>19</v>
      </c>
      <c r="N3" s="39">
        <f aca="true" t="shared" si="6" ref="N3:N26">N2+($N$50-$N$2)/BinDivisor</f>
        <v>0.0008199791666666668</v>
      </c>
      <c r="O3" s="40">
        <f>COUNTIF(Vertices[Eigenvector Centrality],"&gt;= "&amp;N3)-COUNTIF(Vertices[Eigenvector Centrality],"&gt;="&amp;N4)</f>
        <v>37</v>
      </c>
      <c r="P3" s="39">
        <f aca="true" t="shared" si="7" ref="P3:P26">P2+($P$50-$P$2)/BinDivisor</f>
        <v>0.539544125</v>
      </c>
      <c r="Q3" s="40">
        <f>COUNTIF(Vertices[PageRank],"&gt;= "&amp;P3)-COUNTIF(Vertices[PageRank],"&gt;="&amp;P4)</f>
        <v>70</v>
      </c>
      <c r="R3" s="39">
        <f aca="true" t="shared" si="8" ref="R3:R26">R2+($R$50-$R$2)/BinDivisor</f>
        <v>0.010416666666666666</v>
      </c>
      <c r="S3" s="44">
        <f>COUNTIF(Vertices[Clustering Coefficient],"&gt;= "&amp;R3)-COUNTIF(Vertices[Clustering Coefficient],"&gt;="&amp;R4)</f>
        <v>8</v>
      </c>
      <c r="T3" s="39" t="e">
        <f aca="true" t="shared" si="9" ref="T3:T26">T2+($T$50-$T$2)/BinDivisor</f>
        <v>#REF!</v>
      </c>
      <c r="U3" s="40" t="e">
        <f ca="1" t="shared" si="0"/>
        <v>#REF!</v>
      </c>
      <c r="W3" t="s">
        <v>125</v>
      </c>
      <c r="X3" t="s">
        <v>85</v>
      </c>
    </row>
    <row r="4" spans="1:24" ht="15">
      <c r="A4" s="34" t="s">
        <v>146</v>
      </c>
      <c r="B4" s="34">
        <v>280</v>
      </c>
      <c r="D4" s="32">
        <f t="shared" si="1"/>
        <v>0</v>
      </c>
      <c r="E4" s="3">
        <f>COUNTIF(Vertices[Degree],"&gt;= "&amp;D4)-COUNTIF(Vertices[Degree],"&gt;="&amp;D5)</f>
        <v>0</v>
      </c>
      <c r="F4" s="37">
        <f t="shared" si="2"/>
        <v>0.4583333333333333</v>
      </c>
      <c r="G4" s="38">
        <f>COUNTIF(Vertices[In-Degree],"&gt;= "&amp;F4)-COUNTIF(Vertices[In-Degree],"&gt;="&amp;F5)</f>
        <v>0</v>
      </c>
      <c r="H4" s="37">
        <f t="shared" si="3"/>
        <v>0.8333333333333334</v>
      </c>
      <c r="I4" s="38">
        <f>COUNTIF(Vertices[Out-Degree],"&gt;= "&amp;H4)-COUNTIF(Vertices[Out-Degree],"&gt;="&amp;H5)</f>
        <v>0</v>
      </c>
      <c r="J4" s="37">
        <f t="shared" si="4"/>
        <v>912.1705934166666</v>
      </c>
      <c r="K4" s="38">
        <f>COUNTIF(Vertices[Betweenness Centrality],"&gt;= "&amp;J4)-COUNTIF(Vertices[Betweenness Centrality],"&gt;="&amp;J5)</f>
        <v>3</v>
      </c>
      <c r="L4" s="37">
        <f t="shared" si="5"/>
        <v>0.0006154999999999999</v>
      </c>
      <c r="M4" s="38">
        <f>COUNTIF(Vertices[Closeness Centrality],"&gt;= "&amp;L4)-COUNTIF(Vertices[Closeness Centrality],"&gt;="&amp;L5)</f>
        <v>0</v>
      </c>
      <c r="N4" s="37">
        <f t="shared" si="6"/>
        <v>0.0016289583333333334</v>
      </c>
      <c r="O4" s="38">
        <f>COUNTIF(Vertices[Eigenvector Centrality],"&gt;= "&amp;N4)-COUNTIF(Vertices[Eigenvector Centrality],"&gt;="&amp;N5)</f>
        <v>51</v>
      </c>
      <c r="P4" s="37">
        <f t="shared" si="7"/>
        <v>0.7271762500000001</v>
      </c>
      <c r="Q4" s="38">
        <f>COUNTIF(Vertices[PageRank],"&gt;= "&amp;P4)-COUNTIF(Vertices[PageRank],"&gt;="&amp;P5)</f>
        <v>8</v>
      </c>
      <c r="R4" s="37">
        <f t="shared" si="8"/>
        <v>0.020833333333333332</v>
      </c>
      <c r="S4" s="43">
        <f>COUNTIF(Vertices[Clustering Coefficient],"&gt;= "&amp;R4)-COUNTIF(Vertices[Clustering Coefficient],"&gt;="&amp;R5)</f>
        <v>1</v>
      </c>
      <c r="T4" s="37" t="e">
        <f ca="1" t="shared" si="9"/>
        <v>#REF!</v>
      </c>
      <c r="U4" s="38" t="e">
        <f ca="1" t="shared" si="0"/>
        <v>#REF!</v>
      </c>
      <c r="W4" s="12" t="s">
        <v>126</v>
      </c>
      <c r="X4" s="12" t="s">
        <v>128</v>
      </c>
    </row>
    <row r="5" spans="1:21" ht="15">
      <c r="A5" s="120"/>
      <c r="B5" s="120"/>
      <c r="D5" s="32">
        <f t="shared" si="1"/>
        <v>0</v>
      </c>
      <c r="E5" s="3">
        <f>COUNTIF(Vertices[Degree],"&gt;= "&amp;D5)-COUNTIF(Vertices[Degree],"&gt;="&amp;D6)</f>
        <v>0</v>
      </c>
      <c r="F5" s="39">
        <f t="shared" si="2"/>
        <v>0.6875</v>
      </c>
      <c r="G5" s="40">
        <f>COUNTIF(Vertices[In-Degree],"&gt;= "&amp;F5)-COUNTIF(Vertices[In-Degree],"&gt;="&amp;F6)</f>
        <v>0</v>
      </c>
      <c r="H5" s="39">
        <f t="shared" si="3"/>
        <v>1.25</v>
      </c>
      <c r="I5" s="40">
        <f>COUNTIF(Vertices[Out-Degree],"&gt;= "&amp;H5)-COUNTIF(Vertices[Out-Degree],"&gt;="&amp;H6)</f>
        <v>0</v>
      </c>
      <c r="J5" s="39">
        <f t="shared" si="4"/>
        <v>1368.255890125</v>
      </c>
      <c r="K5" s="40">
        <f>COUNTIF(Vertices[Betweenness Centrality],"&gt;= "&amp;J5)-COUNTIF(Vertices[Betweenness Centrality],"&gt;="&amp;J6)</f>
        <v>1</v>
      </c>
      <c r="L5" s="39">
        <f t="shared" si="5"/>
        <v>0.0006292499999999999</v>
      </c>
      <c r="M5" s="40">
        <f>COUNTIF(Vertices[Closeness Centrality],"&gt;= "&amp;L5)-COUNTIF(Vertices[Closeness Centrality],"&gt;="&amp;L6)</f>
        <v>0</v>
      </c>
      <c r="N5" s="39">
        <f t="shared" si="6"/>
        <v>0.0024379375</v>
      </c>
      <c r="O5" s="40">
        <f>COUNTIF(Vertices[Eigenvector Centrality],"&gt;= "&amp;N5)-COUNTIF(Vertices[Eigenvector Centrality],"&gt;="&amp;N6)</f>
        <v>17</v>
      </c>
      <c r="P5" s="39">
        <f t="shared" si="7"/>
        <v>0.9148083750000001</v>
      </c>
      <c r="Q5" s="40">
        <f>COUNTIF(Vertices[PageRank],"&gt;= "&amp;P5)-COUNTIF(Vertices[PageRank],"&gt;="&amp;P6)</f>
        <v>6</v>
      </c>
      <c r="R5" s="39">
        <f t="shared" si="8"/>
        <v>0.03125</v>
      </c>
      <c r="S5" s="44">
        <f>COUNTIF(Vertices[Clustering Coefficient],"&gt;= "&amp;R5)-COUNTIF(Vertices[Clustering Coefficient],"&gt;="&amp;R6)</f>
        <v>1</v>
      </c>
      <c r="T5" s="39" t="e">
        <f ca="1" t="shared" si="9"/>
        <v>#REF!</v>
      </c>
      <c r="U5" s="40" t="e">
        <f ca="1" t="shared" si="0"/>
        <v>#REF!</v>
      </c>
    </row>
    <row r="6" spans="1:21" ht="15">
      <c r="A6" s="34" t="s">
        <v>148</v>
      </c>
      <c r="B6" s="34">
        <v>400</v>
      </c>
      <c r="D6" s="32">
        <f t="shared" si="1"/>
        <v>0</v>
      </c>
      <c r="E6" s="3">
        <f>COUNTIF(Vertices[Degree],"&gt;= "&amp;D6)-COUNTIF(Vertices[Degree],"&gt;="&amp;D7)</f>
        <v>0</v>
      </c>
      <c r="F6" s="37">
        <f t="shared" si="2"/>
        <v>0.9166666666666666</v>
      </c>
      <c r="G6" s="38">
        <f>COUNTIF(Vertices[In-Degree],"&gt;= "&amp;F6)-COUNTIF(Vertices[In-Degree],"&gt;="&amp;F7)</f>
        <v>221</v>
      </c>
      <c r="H6" s="37">
        <f t="shared" si="3"/>
        <v>1.6666666666666667</v>
      </c>
      <c r="I6" s="38">
        <f>COUNTIF(Vertices[Out-Degree],"&gt;= "&amp;H6)-COUNTIF(Vertices[Out-Degree],"&gt;="&amp;H7)</f>
        <v>0</v>
      </c>
      <c r="J6" s="37">
        <f t="shared" si="4"/>
        <v>1824.3411868333333</v>
      </c>
      <c r="K6" s="38">
        <f>COUNTIF(Vertices[Betweenness Centrality],"&gt;= "&amp;J6)-COUNTIF(Vertices[Betweenness Centrality],"&gt;="&amp;J7)</f>
        <v>2</v>
      </c>
      <c r="L6" s="37">
        <f t="shared" si="5"/>
        <v>0.0006429999999999999</v>
      </c>
      <c r="M6" s="38">
        <f>COUNTIF(Vertices[Closeness Centrality],"&gt;= "&amp;L6)-COUNTIF(Vertices[Closeness Centrality],"&gt;="&amp;L7)</f>
        <v>0</v>
      </c>
      <c r="N6" s="37">
        <f t="shared" si="6"/>
        <v>0.0032469166666666666</v>
      </c>
      <c r="O6" s="38">
        <f>COUNTIF(Vertices[Eigenvector Centrality],"&gt;= "&amp;N6)-COUNTIF(Vertices[Eigenvector Centrality],"&gt;="&amp;N7)</f>
        <v>15</v>
      </c>
      <c r="P6" s="37">
        <f t="shared" si="7"/>
        <v>1.1024405000000002</v>
      </c>
      <c r="Q6" s="38">
        <f>COUNTIF(Vertices[PageRank],"&gt;= "&amp;P6)-COUNTIF(Vertices[PageRank],"&gt;="&amp;P7)</f>
        <v>5</v>
      </c>
      <c r="R6" s="37">
        <f t="shared" si="8"/>
        <v>0.041666666666666664</v>
      </c>
      <c r="S6" s="43">
        <f>COUNTIF(Vertices[Clustering Coefficient],"&gt;= "&amp;R6)-COUNTIF(Vertices[Clustering Coefficient],"&gt;="&amp;R7)</f>
        <v>2</v>
      </c>
      <c r="T6" s="37" t="e">
        <f ca="1" t="shared" si="9"/>
        <v>#REF!</v>
      </c>
      <c r="U6" s="38" t="e">
        <f ca="1" t="shared" si="0"/>
        <v>#REF!</v>
      </c>
    </row>
    <row r="7" spans="1:21" ht="15">
      <c r="A7" s="34" t="s">
        <v>149</v>
      </c>
      <c r="B7" s="34">
        <v>0</v>
      </c>
      <c r="D7" s="32">
        <f t="shared" si="1"/>
        <v>0</v>
      </c>
      <c r="E7" s="3">
        <f>COUNTIF(Vertices[Degree],"&gt;= "&amp;D7)-COUNTIF(Vertices[Degree],"&gt;="&amp;D8)</f>
        <v>0</v>
      </c>
      <c r="F7" s="39">
        <f t="shared" si="2"/>
        <v>1.1458333333333333</v>
      </c>
      <c r="G7" s="40">
        <f>COUNTIF(Vertices[In-Degree],"&gt;= "&amp;F7)-COUNTIF(Vertices[In-Degree],"&gt;="&amp;F8)</f>
        <v>0</v>
      </c>
      <c r="H7" s="39">
        <f t="shared" si="3"/>
        <v>2.0833333333333335</v>
      </c>
      <c r="I7" s="40">
        <f>COUNTIF(Vertices[Out-Degree],"&gt;= "&amp;H7)-COUNTIF(Vertices[Out-Degree],"&gt;="&amp;H8)</f>
        <v>0</v>
      </c>
      <c r="J7" s="39">
        <f t="shared" si="4"/>
        <v>2280.4264835416666</v>
      </c>
      <c r="K7" s="40">
        <f>COUNTIF(Vertices[Betweenness Centrality],"&gt;= "&amp;J7)-COUNTIF(Vertices[Betweenness Centrality],"&gt;="&amp;J8)</f>
        <v>0</v>
      </c>
      <c r="L7" s="39">
        <f t="shared" si="5"/>
        <v>0.0006567499999999999</v>
      </c>
      <c r="M7" s="40">
        <f>COUNTIF(Vertices[Closeness Centrality],"&gt;= "&amp;L7)-COUNTIF(Vertices[Closeness Centrality],"&gt;="&amp;L8)</f>
        <v>0</v>
      </c>
      <c r="N7" s="39">
        <f t="shared" si="6"/>
        <v>0.004055895833333333</v>
      </c>
      <c r="O7" s="40">
        <f>COUNTIF(Vertices[Eigenvector Centrality],"&gt;= "&amp;N7)-COUNTIF(Vertices[Eigenvector Centrality],"&gt;="&amp;N8)</f>
        <v>3</v>
      </c>
      <c r="P7" s="39">
        <f t="shared" si="7"/>
        <v>1.290072625</v>
      </c>
      <c r="Q7" s="40">
        <f>COUNTIF(Vertices[PageRank],"&gt;= "&amp;P7)-COUNTIF(Vertices[PageRank],"&gt;="&amp;P8)</f>
        <v>1</v>
      </c>
      <c r="R7" s="39">
        <f t="shared" si="8"/>
        <v>0.05208333333333333</v>
      </c>
      <c r="S7" s="44">
        <f>COUNTIF(Vertices[Clustering Coefficient],"&gt;= "&amp;R7)-COUNTIF(Vertices[Clustering Coefficient],"&gt;="&amp;R8)</f>
        <v>3</v>
      </c>
      <c r="T7" s="39" t="e">
        <f ca="1" t="shared" si="9"/>
        <v>#REF!</v>
      </c>
      <c r="U7" s="40" t="e">
        <f ca="1" t="shared" si="0"/>
        <v>#REF!</v>
      </c>
    </row>
    <row r="8" spans="1:21" ht="15">
      <c r="A8" s="34" t="s">
        <v>150</v>
      </c>
      <c r="B8" s="34">
        <v>400</v>
      </c>
      <c r="D8" s="32">
        <f t="shared" si="1"/>
        <v>0</v>
      </c>
      <c r="E8" s="3">
        <f>COUNTIF(Vertices[Degree],"&gt;= "&amp;D8)-COUNTIF(Vertices[Degree],"&gt;="&amp;D9)</f>
        <v>0</v>
      </c>
      <c r="F8" s="37">
        <f t="shared" si="2"/>
        <v>1.375</v>
      </c>
      <c r="G8" s="38">
        <f>COUNTIF(Vertices[In-Degree],"&gt;= "&amp;F8)-COUNTIF(Vertices[In-Degree],"&gt;="&amp;F9)</f>
        <v>0</v>
      </c>
      <c r="H8" s="37">
        <f t="shared" si="3"/>
        <v>2.5</v>
      </c>
      <c r="I8" s="38">
        <f>COUNTIF(Vertices[Out-Degree],"&gt;= "&amp;H8)-COUNTIF(Vertices[Out-Degree],"&gt;="&amp;H9)</f>
        <v>0</v>
      </c>
      <c r="J8" s="37">
        <f t="shared" si="4"/>
        <v>2736.51178025</v>
      </c>
      <c r="K8" s="38">
        <f>COUNTIF(Vertices[Betweenness Centrality],"&gt;= "&amp;J8)-COUNTIF(Vertices[Betweenness Centrality],"&gt;="&amp;J9)</f>
        <v>2</v>
      </c>
      <c r="L8" s="37">
        <f t="shared" si="5"/>
        <v>0.0006704999999999999</v>
      </c>
      <c r="M8" s="38">
        <f>COUNTIF(Vertices[Closeness Centrality],"&gt;= "&amp;L8)-COUNTIF(Vertices[Closeness Centrality],"&gt;="&amp;L9)</f>
        <v>0</v>
      </c>
      <c r="N8" s="37">
        <f t="shared" si="6"/>
        <v>0.004864875</v>
      </c>
      <c r="O8" s="38">
        <f>COUNTIF(Vertices[Eigenvector Centrality],"&gt;= "&amp;N8)-COUNTIF(Vertices[Eigenvector Centrality],"&gt;="&amp;N9)</f>
        <v>2</v>
      </c>
      <c r="P8" s="37">
        <f t="shared" si="7"/>
        <v>1.47770475</v>
      </c>
      <c r="Q8" s="38">
        <f>COUNTIF(Vertices[PageRank],"&gt;= "&amp;P8)-COUNTIF(Vertices[PageRank],"&gt;="&amp;P9)</f>
        <v>1</v>
      </c>
      <c r="R8" s="37">
        <f t="shared" si="8"/>
        <v>0.06249999999999999</v>
      </c>
      <c r="S8" s="43">
        <f>COUNTIF(Vertices[Clustering Coefficient],"&gt;= "&amp;R8)-COUNTIF(Vertices[Clustering Coefficient],"&gt;="&amp;R9)</f>
        <v>2</v>
      </c>
      <c r="T8" s="37" t="e">
        <f ca="1" t="shared" si="9"/>
        <v>#REF!</v>
      </c>
      <c r="U8" s="38" t="e">
        <f ca="1" t="shared" si="0"/>
        <v>#REF!</v>
      </c>
    </row>
    <row r="9" spans="1:21" ht="15">
      <c r="A9" s="120"/>
      <c r="B9" s="120"/>
      <c r="D9" s="32">
        <f t="shared" si="1"/>
        <v>0</v>
      </c>
      <c r="E9" s="3">
        <f>COUNTIF(Vertices[Degree],"&gt;= "&amp;D9)-COUNTIF(Vertices[Degree],"&gt;="&amp;D10)</f>
        <v>0</v>
      </c>
      <c r="F9" s="39">
        <f t="shared" si="2"/>
        <v>1.6041666666666667</v>
      </c>
      <c r="G9" s="40">
        <f>COUNTIF(Vertices[In-Degree],"&gt;= "&amp;F9)-COUNTIF(Vertices[In-Degree],"&gt;="&amp;F10)</f>
        <v>0</v>
      </c>
      <c r="H9" s="39">
        <f t="shared" si="3"/>
        <v>2.9166666666666665</v>
      </c>
      <c r="I9" s="40">
        <f>COUNTIF(Vertices[Out-Degree],"&gt;= "&amp;H9)-COUNTIF(Vertices[Out-Degree],"&gt;="&amp;H10)</f>
        <v>0</v>
      </c>
      <c r="J9" s="39">
        <f t="shared" si="4"/>
        <v>3192.597076958333</v>
      </c>
      <c r="K9" s="40">
        <f>COUNTIF(Vertices[Betweenness Centrality],"&gt;= "&amp;J9)-COUNTIF(Vertices[Betweenness Centrality],"&gt;="&amp;J10)</f>
        <v>0</v>
      </c>
      <c r="L9" s="39">
        <f t="shared" si="5"/>
        <v>0.0006842499999999999</v>
      </c>
      <c r="M9" s="40">
        <f>COUNTIF(Vertices[Closeness Centrality],"&gt;= "&amp;L9)-COUNTIF(Vertices[Closeness Centrality],"&gt;="&amp;L10)</f>
        <v>0</v>
      </c>
      <c r="N9" s="39">
        <f t="shared" si="6"/>
        <v>0.005673854166666667</v>
      </c>
      <c r="O9" s="40">
        <f>COUNTIF(Vertices[Eigenvector Centrality],"&gt;= "&amp;N9)-COUNTIF(Vertices[Eigenvector Centrality],"&gt;="&amp;N10)</f>
        <v>3</v>
      </c>
      <c r="P9" s="39">
        <f t="shared" si="7"/>
        <v>1.665336875</v>
      </c>
      <c r="Q9" s="40">
        <f>COUNTIF(Vertices[PageRank],"&gt;= "&amp;P9)-COUNTIF(Vertices[PageRank],"&gt;="&amp;P10)</f>
        <v>3</v>
      </c>
      <c r="R9" s="39">
        <f t="shared" si="8"/>
        <v>0.07291666666666666</v>
      </c>
      <c r="S9" s="44">
        <f>COUNTIF(Vertices[Clustering Coefficient],"&gt;= "&amp;R9)-COUNTIF(Vertices[Clustering Coefficient],"&gt;="&amp;R10)</f>
        <v>0</v>
      </c>
      <c r="T9" s="39" t="e">
        <f ca="1" t="shared" si="9"/>
        <v>#REF!</v>
      </c>
      <c r="U9" s="40" t="e">
        <f ca="1" t="shared" si="0"/>
        <v>#REF!</v>
      </c>
    </row>
    <row r="10" spans="1:21" ht="15">
      <c r="A10" s="34" t="s">
        <v>151</v>
      </c>
      <c r="B10" s="34">
        <v>0</v>
      </c>
      <c r="D10" s="32">
        <f t="shared" si="1"/>
        <v>0</v>
      </c>
      <c r="E10" s="3">
        <f>COUNTIF(Vertices[Degree],"&gt;= "&amp;D10)-COUNTIF(Vertices[Degree],"&gt;="&amp;D11)</f>
        <v>0</v>
      </c>
      <c r="F10" s="37">
        <f t="shared" si="2"/>
        <v>1.8333333333333335</v>
      </c>
      <c r="G10" s="38">
        <f>COUNTIF(Vertices[In-Degree],"&gt;= "&amp;F10)-COUNTIF(Vertices[In-Degree],"&gt;="&amp;F11)</f>
        <v>20</v>
      </c>
      <c r="H10" s="37">
        <f t="shared" si="3"/>
        <v>3.333333333333333</v>
      </c>
      <c r="I10" s="38">
        <f>COUNTIF(Vertices[Out-Degree],"&gt;= "&amp;H10)-COUNTIF(Vertices[Out-Degree],"&gt;="&amp;H11)</f>
        <v>0</v>
      </c>
      <c r="J10" s="37">
        <f t="shared" si="4"/>
        <v>3648.6823736666665</v>
      </c>
      <c r="K10" s="38">
        <f>COUNTIF(Vertices[Betweenness Centrality],"&gt;= "&amp;J10)-COUNTIF(Vertices[Betweenness Centrality],"&gt;="&amp;J11)</f>
        <v>1</v>
      </c>
      <c r="L10" s="37">
        <f t="shared" si="5"/>
        <v>0.0006979999999999998</v>
      </c>
      <c r="M10" s="38">
        <f>COUNTIF(Vertices[Closeness Centrality],"&gt;= "&amp;L10)-COUNTIF(Vertices[Closeness Centrality],"&gt;="&amp;L11)</f>
        <v>1</v>
      </c>
      <c r="N10" s="37">
        <f t="shared" si="6"/>
        <v>0.006482833333333334</v>
      </c>
      <c r="O10" s="38">
        <f>COUNTIF(Vertices[Eigenvector Centrality],"&gt;= "&amp;N10)-COUNTIF(Vertices[Eigenvector Centrality],"&gt;="&amp;N11)</f>
        <v>2</v>
      </c>
      <c r="P10" s="37">
        <f t="shared" si="7"/>
        <v>1.8529689999999999</v>
      </c>
      <c r="Q10" s="38">
        <f>COUNTIF(Vertices[PageRank],"&gt;= "&amp;P10)-COUNTIF(Vertices[PageRank],"&gt;="&amp;P11)</f>
        <v>1</v>
      </c>
      <c r="R10" s="37">
        <f t="shared" si="8"/>
        <v>0.08333333333333333</v>
      </c>
      <c r="S10" s="43">
        <f>COUNTIF(Vertices[Clustering Coefficient],"&gt;= "&amp;R10)-COUNTIF(Vertices[Clustering Coefficient],"&gt;="&amp;R11)</f>
        <v>2</v>
      </c>
      <c r="T10" s="37" t="e">
        <f ca="1" t="shared" si="9"/>
        <v>#REF!</v>
      </c>
      <c r="U10" s="38" t="e">
        <f ca="1" t="shared" si="0"/>
        <v>#REF!</v>
      </c>
    </row>
    <row r="11" spans="1:21" ht="15">
      <c r="A11" s="120"/>
      <c r="B11" s="120"/>
      <c r="D11" s="32">
        <f t="shared" si="1"/>
        <v>0</v>
      </c>
      <c r="E11" s="3">
        <f>COUNTIF(Vertices[Degree],"&gt;= "&amp;D11)-COUNTIF(Vertices[Degree],"&gt;="&amp;D12)</f>
        <v>0</v>
      </c>
      <c r="F11" s="39">
        <f t="shared" si="2"/>
        <v>2.0625</v>
      </c>
      <c r="G11" s="40">
        <f>COUNTIF(Vertices[In-Degree],"&gt;= "&amp;F11)-COUNTIF(Vertices[In-Degree],"&gt;="&amp;F12)</f>
        <v>0</v>
      </c>
      <c r="H11" s="39">
        <f t="shared" si="3"/>
        <v>3.7499999999999996</v>
      </c>
      <c r="I11" s="40">
        <f>COUNTIF(Vertices[Out-Degree],"&gt;= "&amp;H11)-COUNTIF(Vertices[Out-Degree],"&gt;="&amp;H12)</f>
        <v>0</v>
      </c>
      <c r="J11" s="39">
        <f t="shared" si="4"/>
        <v>4104.767670375</v>
      </c>
      <c r="K11" s="40">
        <f>COUNTIF(Vertices[Betweenness Centrality],"&gt;= "&amp;J11)-COUNTIF(Vertices[Betweenness Centrality],"&gt;="&amp;J12)</f>
        <v>0</v>
      </c>
      <c r="L11" s="39">
        <f t="shared" si="5"/>
        <v>0.0007117499999999998</v>
      </c>
      <c r="M11" s="40">
        <f>COUNTIF(Vertices[Closeness Centrality],"&gt;= "&amp;L11)-COUNTIF(Vertices[Closeness Centrality],"&gt;="&amp;L12)</f>
        <v>19</v>
      </c>
      <c r="N11" s="39">
        <f t="shared" si="6"/>
        <v>0.007291812500000001</v>
      </c>
      <c r="O11" s="40">
        <f>COUNTIF(Vertices[Eigenvector Centrality],"&gt;= "&amp;N11)-COUNTIF(Vertices[Eigenvector Centrality],"&gt;="&amp;N12)</f>
        <v>1</v>
      </c>
      <c r="P11" s="39">
        <f t="shared" si="7"/>
        <v>2.040601125</v>
      </c>
      <c r="Q11" s="40">
        <f>COUNTIF(Vertices[PageRank],"&gt;= "&amp;P11)-COUNTIF(Vertices[PageRank],"&gt;="&amp;P12)</f>
        <v>1</v>
      </c>
      <c r="R11" s="39">
        <f t="shared" si="8"/>
        <v>0.09375</v>
      </c>
      <c r="S11" s="44">
        <f>COUNTIF(Vertices[Clustering Coefficient],"&gt;= "&amp;R11)-COUNTIF(Vertices[Clustering Coefficient],"&gt;="&amp;R12)</f>
        <v>2</v>
      </c>
      <c r="T11" s="39" t="e">
        <f ca="1" t="shared" si="9"/>
        <v>#REF!</v>
      </c>
      <c r="U11" s="40" t="e">
        <f ca="1" t="shared" si="0"/>
        <v>#REF!</v>
      </c>
    </row>
    <row r="12" spans="1:21" ht="15">
      <c r="A12" s="34" t="s">
        <v>170</v>
      </c>
      <c r="B12" s="34">
        <v>0</v>
      </c>
      <c r="D12" s="32">
        <f t="shared" si="1"/>
        <v>0</v>
      </c>
      <c r="E12" s="3">
        <f>COUNTIF(Vertices[Degree],"&gt;= "&amp;D12)-COUNTIF(Vertices[Degree],"&gt;="&amp;D13)</f>
        <v>0</v>
      </c>
      <c r="F12" s="37">
        <f t="shared" si="2"/>
        <v>2.2916666666666665</v>
      </c>
      <c r="G12" s="38">
        <f>COUNTIF(Vertices[In-Degree],"&gt;= "&amp;F12)-COUNTIF(Vertices[In-Degree],"&gt;="&amp;F13)</f>
        <v>0</v>
      </c>
      <c r="H12" s="37">
        <f t="shared" si="3"/>
        <v>4.166666666666666</v>
      </c>
      <c r="I12" s="38">
        <f>COUNTIF(Vertices[Out-Degree],"&gt;= "&amp;H12)-COUNTIF(Vertices[Out-Degree],"&gt;="&amp;H13)</f>
        <v>0</v>
      </c>
      <c r="J12" s="37">
        <f t="shared" si="4"/>
        <v>4560.852967083334</v>
      </c>
      <c r="K12" s="38">
        <f>COUNTIF(Vertices[Betweenness Centrality],"&gt;= "&amp;J12)-COUNTIF(Vertices[Betweenness Centrality],"&gt;="&amp;J13)</f>
        <v>2</v>
      </c>
      <c r="L12" s="37">
        <f t="shared" si="5"/>
        <v>0.0007254999999999998</v>
      </c>
      <c r="M12" s="38">
        <f>COUNTIF(Vertices[Closeness Centrality],"&gt;= "&amp;L12)-COUNTIF(Vertices[Closeness Centrality],"&gt;="&amp;L13)</f>
        <v>1</v>
      </c>
      <c r="N12" s="37">
        <f t="shared" si="6"/>
        <v>0.008100791666666668</v>
      </c>
      <c r="O12" s="38">
        <f>COUNTIF(Vertices[Eigenvector Centrality],"&gt;= "&amp;N12)-COUNTIF(Vertices[Eigenvector Centrality],"&gt;="&amp;N13)</f>
        <v>2</v>
      </c>
      <c r="P12" s="37">
        <f t="shared" si="7"/>
        <v>2.2282332499999997</v>
      </c>
      <c r="Q12" s="38">
        <f>COUNTIF(Vertices[PageRank],"&gt;= "&amp;P12)-COUNTIF(Vertices[PageRank],"&gt;="&amp;P13)</f>
        <v>1</v>
      </c>
      <c r="R12" s="37">
        <f t="shared" si="8"/>
        <v>0.10416666666666667</v>
      </c>
      <c r="S12" s="43">
        <f>COUNTIF(Vertices[Clustering Coefficient],"&gt;= "&amp;R12)-COUNTIF(Vertices[Clustering Coefficient],"&gt;="&amp;R13)</f>
        <v>1</v>
      </c>
      <c r="T12" s="37" t="e">
        <f ca="1" t="shared" si="9"/>
        <v>#REF!</v>
      </c>
      <c r="U12" s="38" t="e">
        <f ca="1" t="shared" si="0"/>
        <v>#REF!</v>
      </c>
    </row>
    <row r="13" spans="1:21" ht="15">
      <c r="A13" s="34" t="s">
        <v>171</v>
      </c>
      <c r="B13" s="34">
        <v>0</v>
      </c>
      <c r="D13" s="32">
        <f t="shared" si="1"/>
        <v>0</v>
      </c>
      <c r="E13" s="3">
        <f>COUNTIF(Vertices[Degree],"&gt;= "&amp;D13)-COUNTIF(Vertices[Degree],"&gt;="&amp;D14)</f>
        <v>0</v>
      </c>
      <c r="F13" s="39">
        <f t="shared" si="2"/>
        <v>2.520833333333333</v>
      </c>
      <c r="G13" s="40">
        <f>COUNTIF(Vertices[In-Degree],"&gt;= "&amp;F13)-COUNTIF(Vertices[In-Degree],"&gt;="&amp;F14)</f>
        <v>0</v>
      </c>
      <c r="H13" s="39">
        <f t="shared" si="3"/>
        <v>4.583333333333333</v>
      </c>
      <c r="I13" s="40">
        <f>COUNTIF(Vertices[Out-Degree],"&gt;= "&amp;H13)-COUNTIF(Vertices[Out-Degree],"&gt;="&amp;H14)</f>
        <v>0</v>
      </c>
      <c r="J13" s="39">
        <f t="shared" si="4"/>
        <v>5016.938263791668</v>
      </c>
      <c r="K13" s="40">
        <f>COUNTIF(Vertices[Betweenness Centrality],"&gt;= "&amp;J13)-COUNTIF(Vertices[Betweenness Centrality],"&gt;="&amp;J14)</f>
        <v>3</v>
      </c>
      <c r="L13" s="39">
        <f t="shared" si="5"/>
        <v>0.0007392499999999998</v>
      </c>
      <c r="M13" s="40">
        <f>COUNTIF(Vertices[Closeness Centrality],"&gt;= "&amp;L13)-COUNTIF(Vertices[Closeness Centrality],"&gt;="&amp;L14)</f>
        <v>0</v>
      </c>
      <c r="N13" s="39">
        <f t="shared" si="6"/>
        <v>0.008909770833333334</v>
      </c>
      <c r="O13" s="40">
        <f>COUNTIF(Vertices[Eigenvector Centrality],"&gt;= "&amp;N13)-COUNTIF(Vertices[Eigenvector Centrality],"&gt;="&amp;N14)</f>
        <v>2</v>
      </c>
      <c r="P13" s="39">
        <f t="shared" si="7"/>
        <v>2.4158653749999996</v>
      </c>
      <c r="Q13" s="40">
        <f>COUNTIF(Vertices[PageRank],"&gt;= "&amp;P13)-COUNTIF(Vertices[PageRank],"&gt;="&amp;P14)</f>
        <v>0</v>
      </c>
      <c r="R13" s="39">
        <f t="shared" si="8"/>
        <v>0.11458333333333334</v>
      </c>
      <c r="S13" s="44">
        <f>COUNTIF(Vertices[Clustering Coefficient],"&gt;= "&amp;R13)-COUNTIF(Vertices[Clustering Coefficient],"&gt;="&amp;R14)</f>
        <v>1</v>
      </c>
      <c r="T13" s="39" t="e">
        <f ca="1" t="shared" si="9"/>
        <v>#REF!</v>
      </c>
      <c r="U13" s="40" t="e">
        <f ca="1" t="shared" si="0"/>
        <v>#REF!</v>
      </c>
    </row>
    <row r="14" spans="1:21" ht="15">
      <c r="A14" s="120"/>
      <c r="B14" s="120"/>
      <c r="D14" s="32">
        <f t="shared" si="1"/>
        <v>0</v>
      </c>
      <c r="E14" s="3">
        <f>COUNTIF(Vertices[Degree],"&gt;= "&amp;D14)-COUNTIF(Vertices[Degree],"&gt;="&amp;D15)</f>
        <v>0</v>
      </c>
      <c r="F14" s="37">
        <f t="shared" si="2"/>
        <v>2.7499999999999996</v>
      </c>
      <c r="G14" s="38">
        <f>COUNTIF(Vertices[In-Degree],"&gt;= "&amp;F14)-COUNTIF(Vertices[In-Degree],"&gt;="&amp;F15)</f>
        <v>0</v>
      </c>
      <c r="H14" s="37">
        <f t="shared" si="3"/>
        <v>5</v>
      </c>
      <c r="I14" s="38">
        <f>COUNTIF(Vertices[Out-Degree],"&gt;= "&amp;H14)-COUNTIF(Vertices[Out-Degree],"&gt;="&amp;H15)</f>
        <v>0</v>
      </c>
      <c r="J14" s="37">
        <f t="shared" si="4"/>
        <v>5473.023560500002</v>
      </c>
      <c r="K14" s="38">
        <f>COUNTIF(Vertices[Betweenness Centrality],"&gt;= "&amp;J14)-COUNTIF(Vertices[Betweenness Centrality],"&gt;="&amp;J15)</f>
        <v>2</v>
      </c>
      <c r="L14" s="37">
        <f t="shared" si="5"/>
        <v>0.0007529999999999998</v>
      </c>
      <c r="M14" s="38">
        <f>COUNTIF(Vertices[Closeness Centrality],"&gt;= "&amp;L14)-COUNTIF(Vertices[Closeness Centrality],"&gt;="&amp;L15)</f>
        <v>36</v>
      </c>
      <c r="N14" s="37">
        <f t="shared" si="6"/>
        <v>0.00971875</v>
      </c>
      <c r="O14" s="38">
        <f>COUNTIF(Vertices[Eigenvector Centrality],"&gt;= "&amp;N14)-COUNTIF(Vertices[Eigenvector Centrality],"&gt;="&amp;N15)</f>
        <v>1</v>
      </c>
      <c r="P14" s="37">
        <f t="shared" si="7"/>
        <v>2.6034974999999996</v>
      </c>
      <c r="Q14" s="38">
        <f>COUNTIF(Vertices[PageRank],"&gt;= "&amp;P14)-COUNTIF(Vertices[PageRank],"&gt;="&amp;P15)</f>
        <v>1</v>
      </c>
      <c r="R14" s="37">
        <f t="shared" si="8"/>
        <v>0.125</v>
      </c>
      <c r="S14" s="43">
        <f>COUNTIF(Vertices[Clustering Coefficient],"&gt;= "&amp;R14)-COUNTIF(Vertices[Clustering Coefficient],"&gt;="&amp;R15)</f>
        <v>1</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2.979166666666666</v>
      </c>
      <c r="G15" s="40">
        <f>COUNTIF(Vertices[In-Degree],"&gt;= "&amp;F15)-COUNTIF(Vertices[In-Degree],"&gt;="&amp;F16)</f>
        <v>5</v>
      </c>
      <c r="H15" s="39">
        <f t="shared" si="3"/>
        <v>5.416666666666667</v>
      </c>
      <c r="I15" s="40">
        <f>COUNTIF(Vertices[Out-Degree],"&gt;= "&amp;H15)-COUNTIF(Vertices[Out-Degree],"&gt;="&amp;H16)</f>
        <v>0</v>
      </c>
      <c r="J15" s="39">
        <f t="shared" si="4"/>
        <v>5929.108857208335</v>
      </c>
      <c r="K15" s="40">
        <f>COUNTIF(Vertices[Betweenness Centrality],"&gt;= "&amp;J15)-COUNTIF(Vertices[Betweenness Centrality],"&gt;="&amp;J16)</f>
        <v>2</v>
      </c>
      <c r="L15" s="39">
        <f t="shared" si="5"/>
        <v>0.0007667499999999997</v>
      </c>
      <c r="M15" s="40">
        <f>COUNTIF(Vertices[Closeness Centrality],"&gt;= "&amp;L15)-COUNTIF(Vertices[Closeness Centrality],"&gt;="&amp;L16)</f>
        <v>0</v>
      </c>
      <c r="N15" s="39">
        <f t="shared" si="6"/>
        <v>0.010527729166666666</v>
      </c>
      <c r="O15" s="40">
        <f>COUNTIF(Vertices[Eigenvector Centrality],"&gt;= "&amp;N15)-COUNTIF(Vertices[Eigenvector Centrality],"&gt;="&amp;N16)</f>
        <v>1</v>
      </c>
      <c r="P15" s="39">
        <f t="shared" si="7"/>
        <v>2.7911296249999995</v>
      </c>
      <c r="Q15" s="40">
        <f>COUNTIF(Vertices[PageRank],"&gt;= "&amp;P15)-COUNTIF(Vertices[PageRank],"&gt;="&amp;P16)</f>
        <v>0</v>
      </c>
      <c r="R15" s="39">
        <f t="shared" si="8"/>
        <v>0.13541666666666666</v>
      </c>
      <c r="S15" s="44">
        <f>COUNTIF(Vertices[Clustering Coefficient],"&gt;= "&amp;R15)-COUNTIF(Vertices[Clustering Coefficient],"&gt;="&amp;R16)</f>
        <v>1</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3.2083333333333326</v>
      </c>
      <c r="G16" s="38">
        <f>COUNTIF(Vertices[In-Degree],"&gt;= "&amp;F16)-COUNTIF(Vertices[In-Degree],"&gt;="&amp;F17)</f>
        <v>0</v>
      </c>
      <c r="H16" s="37">
        <f t="shared" si="3"/>
        <v>5.833333333333334</v>
      </c>
      <c r="I16" s="38">
        <f>COUNTIF(Vertices[Out-Degree],"&gt;= "&amp;H16)-COUNTIF(Vertices[Out-Degree],"&gt;="&amp;H17)</f>
        <v>0</v>
      </c>
      <c r="J16" s="37">
        <f t="shared" si="4"/>
        <v>6385.194153916669</v>
      </c>
      <c r="K16" s="38">
        <f>COUNTIF(Vertices[Betweenness Centrality],"&gt;= "&amp;J16)-COUNTIF(Vertices[Betweenness Centrality],"&gt;="&amp;J17)</f>
        <v>0</v>
      </c>
      <c r="L16" s="37">
        <f t="shared" si="5"/>
        <v>0.0007804999999999997</v>
      </c>
      <c r="M16" s="38">
        <f>COUNTIF(Vertices[Closeness Centrality],"&gt;= "&amp;L16)-COUNTIF(Vertices[Closeness Centrality],"&gt;="&amp;L17)</f>
        <v>6</v>
      </c>
      <c r="N16" s="37">
        <f t="shared" si="6"/>
        <v>0.011336708333333332</v>
      </c>
      <c r="O16" s="38">
        <f>COUNTIF(Vertices[Eigenvector Centrality],"&gt;= "&amp;N16)-COUNTIF(Vertices[Eigenvector Centrality],"&gt;="&amp;N17)</f>
        <v>0</v>
      </c>
      <c r="P16" s="37">
        <f t="shared" si="7"/>
        <v>2.9787617499999994</v>
      </c>
      <c r="Q16" s="38">
        <f>COUNTIF(Vertices[PageRank],"&gt;= "&amp;P16)-COUNTIF(Vertices[PageRank],"&gt;="&amp;P17)</f>
        <v>0</v>
      </c>
      <c r="R16" s="37">
        <f t="shared" si="8"/>
        <v>0.14583333333333331</v>
      </c>
      <c r="S16" s="43">
        <f>COUNTIF(Vertices[Clustering Coefficient],"&gt;= "&amp;R16)-COUNTIF(Vertices[Clustering Coefficient],"&gt;="&amp;R17)</f>
        <v>1</v>
      </c>
      <c r="T16" s="37" t="e">
        <f ca="1" t="shared" si="9"/>
        <v>#REF!</v>
      </c>
      <c r="U16" s="38" t="e">
        <f ca="1" t="shared" si="0"/>
        <v>#REF!</v>
      </c>
    </row>
    <row r="17" spans="1:21" ht="15">
      <c r="A17" s="34" t="s">
        <v>154</v>
      </c>
      <c r="B17" s="34">
        <v>280</v>
      </c>
      <c r="D17" s="32">
        <f t="shared" si="1"/>
        <v>0</v>
      </c>
      <c r="E17" s="3">
        <f>COUNTIF(Vertices[Degree],"&gt;= "&amp;D17)-COUNTIF(Vertices[Degree],"&gt;="&amp;D18)</f>
        <v>0</v>
      </c>
      <c r="F17" s="39">
        <f t="shared" si="2"/>
        <v>3.437499999999999</v>
      </c>
      <c r="G17" s="40">
        <f>COUNTIF(Vertices[In-Degree],"&gt;= "&amp;F17)-COUNTIF(Vertices[In-Degree],"&gt;="&amp;F18)</f>
        <v>0</v>
      </c>
      <c r="H17" s="39">
        <f t="shared" si="3"/>
        <v>6.250000000000001</v>
      </c>
      <c r="I17" s="40">
        <f>COUNTIF(Vertices[Out-Degree],"&gt;= "&amp;H17)-COUNTIF(Vertices[Out-Degree],"&gt;="&amp;H18)</f>
        <v>0</v>
      </c>
      <c r="J17" s="39">
        <f t="shared" si="4"/>
        <v>6841.279450625003</v>
      </c>
      <c r="K17" s="40">
        <f>COUNTIF(Vertices[Betweenness Centrality],"&gt;= "&amp;J17)-COUNTIF(Vertices[Betweenness Centrality],"&gt;="&amp;J18)</f>
        <v>1</v>
      </c>
      <c r="L17" s="39">
        <f t="shared" si="5"/>
        <v>0.0007942499999999997</v>
      </c>
      <c r="M17" s="40">
        <f>COUNTIF(Vertices[Closeness Centrality],"&gt;= "&amp;L17)-COUNTIF(Vertices[Closeness Centrality],"&gt;="&amp;L18)</f>
        <v>9</v>
      </c>
      <c r="N17" s="39">
        <f t="shared" si="6"/>
        <v>0.012145687499999998</v>
      </c>
      <c r="O17" s="40">
        <f>COUNTIF(Vertices[Eigenvector Centrality],"&gt;= "&amp;N17)-COUNTIF(Vertices[Eigenvector Centrality],"&gt;="&amp;N18)</f>
        <v>2</v>
      </c>
      <c r="P17" s="39">
        <f t="shared" si="7"/>
        <v>3.1663938749999994</v>
      </c>
      <c r="Q17" s="40">
        <f>COUNTIF(Vertices[PageRank],"&gt;= "&amp;P17)-COUNTIF(Vertices[PageRank],"&gt;="&amp;P18)</f>
        <v>0</v>
      </c>
      <c r="R17" s="39">
        <f t="shared" si="8"/>
        <v>0.15624999999999997</v>
      </c>
      <c r="S17" s="44">
        <f>COUNTIF(Vertices[Clustering Coefficient],"&gt;= "&amp;R17)-COUNTIF(Vertices[Clustering Coefficient],"&gt;="&amp;R18)</f>
        <v>0</v>
      </c>
      <c r="T17" s="39" t="e">
        <f ca="1" t="shared" si="9"/>
        <v>#REF!</v>
      </c>
      <c r="U17" s="40" t="e">
        <f ca="1" t="shared" si="0"/>
        <v>#REF!</v>
      </c>
    </row>
    <row r="18" spans="1:21" ht="15">
      <c r="A18" s="34" t="s">
        <v>155</v>
      </c>
      <c r="B18" s="34">
        <v>400</v>
      </c>
      <c r="D18" s="32">
        <f t="shared" si="1"/>
        <v>0</v>
      </c>
      <c r="E18" s="3">
        <f>COUNTIF(Vertices[Degree],"&gt;= "&amp;D18)-COUNTIF(Vertices[Degree],"&gt;="&amp;D19)</f>
        <v>0</v>
      </c>
      <c r="F18" s="37">
        <f t="shared" si="2"/>
        <v>3.6666666666666656</v>
      </c>
      <c r="G18" s="38">
        <f>COUNTIF(Vertices[In-Degree],"&gt;= "&amp;F18)-COUNTIF(Vertices[In-Degree],"&gt;="&amp;F19)</f>
        <v>0</v>
      </c>
      <c r="H18" s="37">
        <f t="shared" si="3"/>
        <v>6.666666666666668</v>
      </c>
      <c r="I18" s="38">
        <f>COUNTIF(Vertices[Out-Degree],"&gt;= "&amp;H18)-COUNTIF(Vertices[Out-Degree],"&gt;="&amp;H19)</f>
        <v>0</v>
      </c>
      <c r="J18" s="37">
        <f t="shared" si="4"/>
        <v>7297.364747333337</v>
      </c>
      <c r="K18" s="38">
        <f>COUNTIF(Vertices[Betweenness Centrality],"&gt;= "&amp;J18)-COUNTIF(Vertices[Betweenness Centrality],"&gt;="&amp;J19)</f>
        <v>0</v>
      </c>
      <c r="L18" s="37">
        <f t="shared" si="5"/>
        <v>0.0008079999999999997</v>
      </c>
      <c r="M18" s="38">
        <f>COUNTIF(Vertices[Closeness Centrality],"&gt;= "&amp;L18)-COUNTIF(Vertices[Closeness Centrality],"&gt;="&amp;L19)</f>
        <v>44</v>
      </c>
      <c r="N18" s="37">
        <f t="shared" si="6"/>
        <v>0.012954666666666665</v>
      </c>
      <c r="O18" s="38">
        <f>COUNTIF(Vertices[Eigenvector Centrality],"&gt;= "&amp;N18)-COUNTIF(Vertices[Eigenvector Centrality],"&gt;="&amp;N19)</f>
        <v>0</v>
      </c>
      <c r="P18" s="37">
        <f t="shared" si="7"/>
        <v>3.3540259999999993</v>
      </c>
      <c r="Q18" s="38">
        <f>COUNTIF(Vertices[PageRank],"&gt;= "&amp;P18)-COUNTIF(Vertices[PageRank],"&gt;="&amp;P19)</f>
        <v>0</v>
      </c>
      <c r="R18" s="37">
        <f t="shared" si="8"/>
        <v>0.16666666666666663</v>
      </c>
      <c r="S18" s="43">
        <f>COUNTIF(Vertices[Clustering Coefficient],"&gt;= "&amp;R18)-COUNTIF(Vertices[Clustering Coefficient],"&gt;="&amp;R19)</f>
        <v>4</v>
      </c>
      <c r="T18" s="37" t="e">
        <f ca="1" t="shared" si="9"/>
        <v>#REF!</v>
      </c>
      <c r="U18" s="38" t="e">
        <f ca="1" t="shared" si="0"/>
        <v>#REF!</v>
      </c>
    </row>
    <row r="19" spans="1:21" ht="15">
      <c r="A19" s="120"/>
      <c r="B19" s="120"/>
      <c r="D19" s="32">
        <f t="shared" si="1"/>
        <v>0</v>
      </c>
      <c r="E19" s="3">
        <f>COUNTIF(Vertices[Degree],"&gt;= "&amp;D19)-COUNTIF(Vertices[Degree],"&gt;="&amp;D20)</f>
        <v>0</v>
      </c>
      <c r="F19" s="39">
        <f t="shared" si="2"/>
        <v>3.895833333333332</v>
      </c>
      <c r="G19" s="40">
        <f>COUNTIF(Vertices[In-Degree],"&gt;= "&amp;F19)-COUNTIF(Vertices[In-Degree],"&gt;="&amp;F20)</f>
        <v>9</v>
      </c>
      <c r="H19" s="39">
        <f t="shared" si="3"/>
        <v>7.083333333333335</v>
      </c>
      <c r="I19" s="40">
        <f>COUNTIF(Vertices[Out-Degree],"&gt;= "&amp;H19)-COUNTIF(Vertices[Out-Degree],"&gt;="&amp;H20)</f>
        <v>0</v>
      </c>
      <c r="J19" s="39">
        <f t="shared" si="4"/>
        <v>7753.4500440416705</v>
      </c>
      <c r="K19" s="40">
        <f>COUNTIF(Vertices[Betweenness Centrality],"&gt;= "&amp;J19)-COUNTIF(Vertices[Betweenness Centrality],"&gt;="&amp;J20)</f>
        <v>1</v>
      </c>
      <c r="L19" s="39">
        <f t="shared" si="5"/>
        <v>0.0008217499999999997</v>
      </c>
      <c r="M19" s="40">
        <f>COUNTIF(Vertices[Closeness Centrality],"&gt;= "&amp;L19)-COUNTIF(Vertices[Closeness Centrality],"&gt;="&amp;L20)</f>
        <v>11</v>
      </c>
      <c r="N19" s="39">
        <f t="shared" si="6"/>
        <v>0.01376364583333333</v>
      </c>
      <c r="O19" s="40">
        <f>COUNTIF(Vertices[Eigenvector Centrality],"&gt;= "&amp;N19)-COUNTIF(Vertices[Eigenvector Centrality],"&gt;="&amp;N20)</f>
        <v>4</v>
      </c>
      <c r="P19" s="39">
        <f t="shared" si="7"/>
        <v>3.541658124999999</v>
      </c>
      <c r="Q19" s="40">
        <f>COUNTIF(Vertices[PageRank],"&gt;= "&amp;P19)-COUNTIF(Vertices[PageRank],"&gt;="&amp;P20)</f>
        <v>0</v>
      </c>
      <c r="R19" s="39">
        <f t="shared" si="8"/>
        <v>0.1770833333333333</v>
      </c>
      <c r="S19" s="44">
        <f>COUNTIF(Vertices[Clustering Coefficient],"&gt;= "&amp;R19)-COUNTIF(Vertices[Clustering Coefficient],"&gt;="&amp;R20)</f>
        <v>0</v>
      </c>
      <c r="T19" s="39" t="e">
        <f ca="1" t="shared" si="9"/>
        <v>#REF!</v>
      </c>
      <c r="U19" s="40" t="e">
        <f ca="1" t="shared" si="0"/>
        <v>#REF!</v>
      </c>
    </row>
    <row r="20" spans="1:21" ht="15">
      <c r="A20" s="34" t="s">
        <v>156</v>
      </c>
      <c r="B20" s="34">
        <v>9</v>
      </c>
      <c r="D20" s="32">
        <f t="shared" si="1"/>
        <v>0</v>
      </c>
      <c r="E20" s="3">
        <f>COUNTIF(Vertices[Degree],"&gt;= "&amp;D20)-COUNTIF(Vertices[Degree],"&gt;="&amp;D21)</f>
        <v>0</v>
      </c>
      <c r="F20" s="37">
        <f t="shared" si="2"/>
        <v>4.124999999999999</v>
      </c>
      <c r="G20" s="38">
        <f>COUNTIF(Vertices[In-Degree],"&gt;= "&amp;F20)-COUNTIF(Vertices[In-Degree],"&gt;="&amp;F21)</f>
        <v>0</v>
      </c>
      <c r="H20" s="37">
        <f t="shared" si="3"/>
        <v>7.500000000000002</v>
      </c>
      <c r="I20" s="38">
        <f>COUNTIF(Vertices[Out-Degree],"&gt;= "&amp;H20)-COUNTIF(Vertices[Out-Degree],"&gt;="&amp;H21)</f>
        <v>0</v>
      </c>
      <c r="J20" s="37">
        <f t="shared" si="4"/>
        <v>8209.535340750004</v>
      </c>
      <c r="K20" s="38">
        <f>COUNTIF(Vertices[Betweenness Centrality],"&gt;= "&amp;J20)-COUNTIF(Vertices[Betweenness Centrality],"&gt;="&amp;J21)</f>
        <v>1</v>
      </c>
      <c r="L20" s="37">
        <f t="shared" si="5"/>
        <v>0.0008354999999999997</v>
      </c>
      <c r="M20" s="38">
        <f>COUNTIF(Vertices[Closeness Centrality],"&gt;= "&amp;L20)-COUNTIF(Vertices[Closeness Centrality],"&gt;="&amp;L21)</f>
        <v>5</v>
      </c>
      <c r="N20" s="37">
        <f t="shared" si="6"/>
        <v>0.014572624999999997</v>
      </c>
      <c r="O20" s="38">
        <f>COUNTIF(Vertices[Eigenvector Centrality],"&gt;= "&amp;N20)-COUNTIF(Vertices[Eigenvector Centrality],"&gt;="&amp;N21)</f>
        <v>3</v>
      </c>
      <c r="P20" s="37">
        <f t="shared" si="7"/>
        <v>3.729290249999999</v>
      </c>
      <c r="Q20" s="38">
        <f>COUNTIF(Vertices[PageRank],"&gt;= "&amp;P20)-COUNTIF(Vertices[PageRank],"&gt;="&amp;P21)</f>
        <v>0</v>
      </c>
      <c r="R20" s="37">
        <f t="shared" si="8"/>
        <v>0.18749999999999994</v>
      </c>
      <c r="S20" s="43">
        <f>COUNTIF(Vertices[Clustering Coefficient],"&gt;= "&amp;R20)-COUNTIF(Vertices[Clustering Coefficient],"&gt;="&amp;R21)</f>
        <v>0</v>
      </c>
      <c r="T20" s="37" t="e">
        <f ca="1" t="shared" si="9"/>
        <v>#REF!</v>
      </c>
      <c r="U20" s="38" t="e">
        <f ca="1" t="shared" si="0"/>
        <v>#REF!</v>
      </c>
    </row>
    <row r="21" spans="1:21" ht="15">
      <c r="A21" s="34" t="s">
        <v>157</v>
      </c>
      <c r="B21" s="34">
        <v>4.595077</v>
      </c>
      <c r="D21" s="32">
        <f t="shared" si="1"/>
        <v>0</v>
      </c>
      <c r="E21" s="3">
        <f>COUNTIF(Vertices[Degree],"&gt;= "&amp;D21)-COUNTIF(Vertices[Degree],"&gt;="&amp;D22)</f>
        <v>0</v>
      </c>
      <c r="F21" s="39">
        <f t="shared" si="2"/>
        <v>4.354166666666666</v>
      </c>
      <c r="G21" s="40">
        <f>COUNTIF(Vertices[In-Degree],"&gt;= "&amp;F21)-COUNTIF(Vertices[In-Degree],"&gt;="&amp;F22)</f>
        <v>0</v>
      </c>
      <c r="H21" s="39">
        <f t="shared" si="3"/>
        <v>7.916666666666669</v>
      </c>
      <c r="I21" s="40">
        <f>COUNTIF(Vertices[Out-Degree],"&gt;= "&amp;H21)-COUNTIF(Vertices[Out-Degree],"&gt;="&amp;H22)</f>
        <v>0</v>
      </c>
      <c r="J21" s="39">
        <f t="shared" si="4"/>
        <v>8665.620637458338</v>
      </c>
      <c r="K21" s="40">
        <f>COUNTIF(Vertices[Betweenness Centrality],"&gt;= "&amp;J21)-COUNTIF(Vertices[Betweenness Centrality],"&gt;="&amp;J22)</f>
        <v>1</v>
      </c>
      <c r="L21" s="39">
        <f t="shared" si="5"/>
        <v>0.0008492499999999996</v>
      </c>
      <c r="M21" s="40">
        <f>COUNTIF(Vertices[Closeness Centrality],"&gt;= "&amp;L21)-COUNTIF(Vertices[Closeness Centrality],"&gt;="&amp;L22)</f>
        <v>22</v>
      </c>
      <c r="N21" s="39">
        <f t="shared" si="6"/>
        <v>0.015381604166666663</v>
      </c>
      <c r="O21" s="40">
        <f>COUNTIF(Vertices[Eigenvector Centrality],"&gt;= "&amp;N21)-COUNTIF(Vertices[Eigenvector Centrality],"&gt;="&amp;N22)</f>
        <v>3</v>
      </c>
      <c r="P21" s="39">
        <f t="shared" si="7"/>
        <v>3.916922374999999</v>
      </c>
      <c r="Q21" s="40">
        <f>COUNTIF(Vertices[PageRank],"&gt;= "&amp;P21)-COUNTIF(Vertices[PageRank],"&gt;="&amp;P22)</f>
        <v>0</v>
      </c>
      <c r="R21" s="39">
        <f t="shared" si="8"/>
        <v>0.1979166666666666</v>
      </c>
      <c r="S21" s="44">
        <f>COUNTIF(Vertices[Clustering Coefficient],"&gt;= "&amp;R21)-COUNTIF(Vertices[Clustering Coefficient],"&gt;="&amp;R22)</f>
        <v>2</v>
      </c>
      <c r="T21" s="39" t="e">
        <f ca="1" t="shared" si="9"/>
        <v>#REF!</v>
      </c>
      <c r="U21" s="40" t="e">
        <f ca="1" t="shared" si="0"/>
        <v>#REF!</v>
      </c>
    </row>
    <row r="22" spans="1:21" ht="15">
      <c r="A22" s="120"/>
      <c r="B22" s="120"/>
      <c r="D22" s="32">
        <f t="shared" si="1"/>
        <v>0</v>
      </c>
      <c r="E22" s="3">
        <f>COUNTIF(Vertices[Degree],"&gt;= "&amp;D22)-COUNTIF(Vertices[Degree],"&gt;="&amp;D23)</f>
        <v>0</v>
      </c>
      <c r="F22" s="37">
        <f t="shared" si="2"/>
        <v>4.583333333333333</v>
      </c>
      <c r="G22" s="38">
        <f>COUNTIF(Vertices[In-Degree],"&gt;= "&amp;F22)-COUNTIF(Vertices[In-Degree],"&gt;="&amp;F23)</f>
        <v>0</v>
      </c>
      <c r="H22" s="37">
        <f t="shared" si="3"/>
        <v>8.333333333333336</v>
      </c>
      <c r="I22" s="38">
        <f>COUNTIF(Vertices[Out-Degree],"&gt;= "&amp;H22)-COUNTIF(Vertices[Out-Degree],"&gt;="&amp;H23)</f>
        <v>0</v>
      </c>
      <c r="J22" s="37">
        <f t="shared" si="4"/>
        <v>9121.705934166672</v>
      </c>
      <c r="K22" s="38">
        <f>COUNTIF(Vertices[Betweenness Centrality],"&gt;= "&amp;J22)-COUNTIF(Vertices[Betweenness Centrality],"&gt;="&amp;J23)</f>
        <v>0</v>
      </c>
      <c r="L22" s="37">
        <f t="shared" si="5"/>
        <v>0.0008629999999999996</v>
      </c>
      <c r="M22" s="38">
        <f>COUNTIF(Vertices[Closeness Centrality],"&gt;= "&amp;L22)-COUNTIF(Vertices[Closeness Centrality],"&gt;="&amp;L23)</f>
        <v>9</v>
      </c>
      <c r="N22" s="37">
        <f t="shared" si="6"/>
        <v>0.01619058333333333</v>
      </c>
      <c r="O22" s="38">
        <f>COUNTIF(Vertices[Eigenvector Centrality],"&gt;= "&amp;N22)-COUNTIF(Vertices[Eigenvector Centrality],"&gt;="&amp;N23)</f>
        <v>0</v>
      </c>
      <c r="P22" s="37">
        <f t="shared" si="7"/>
        <v>4.104554499999999</v>
      </c>
      <c r="Q22" s="38">
        <f>COUNTIF(Vertices[PageRank],"&gt;= "&amp;P22)-COUNTIF(Vertices[PageRank],"&gt;="&amp;P23)</f>
        <v>0</v>
      </c>
      <c r="R22" s="37">
        <f t="shared" si="8"/>
        <v>0.20833333333333326</v>
      </c>
      <c r="S22" s="43">
        <f>COUNTIF(Vertices[Clustering Coefficient],"&gt;= "&amp;R22)-COUNTIF(Vertices[Clustering Coefficient],"&gt;="&amp;R23)</f>
        <v>0</v>
      </c>
      <c r="T22" s="37" t="e">
        <f ca="1" t="shared" si="9"/>
        <v>#REF!</v>
      </c>
      <c r="U22" s="38" t="e">
        <f ca="1" t="shared" si="0"/>
        <v>#REF!</v>
      </c>
    </row>
    <row r="23" spans="1:21" ht="15">
      <c r="A23" s="34" t="s">
        <v>158</v>
      </c>
      <c r="B23" s="34">
        <v>0.005120327700972862</v>
      </c>
      <c r="D23" s="32">
        <f t="shared" si="1"/>
        <v>0</v>
      </c>
      <c r="E23" s="3">
        <f>COUNTIF(Vertices[Degree],"&gt;= "&amp;D23)-COUNTIF(Vertices[Degree],"&gt;="&amp;D24)</f>
        <v>0</v>
      </c>
      <c r="F23" s="39">
        <f t="shared" si="2"/>
        <v>4.8125</v>
      </c>
      <c r="G23" s="40">
        <f>COUNTIF(Vertices[In-Degree],"&gt;= "&amp;F23)-COUNTIF(Vertices[In-Degree],"&gt;="&amp;F24)</f>
        <v>5</v>
      </c>
      <c r="H23" s="39">
        <f t="shared" si="3"/>
        <v>8.750000000000002</v>
      </c>
      <c r="I23" s="40">
        <f>COUNTIF(Vertices[Out-Degree],"&gt;= "&amp;H23)-COUNTIF(Vertices[Out-Degree],"&gt;="&amp;H24)</f>
        <v>0</v>
      </c>
      <c r="J23" s="39">
        <f t="shared" si="4"/>
        <v>9577.791230875006</v>
      </c>
      <c r="K23" s="40">
        <f>COUNTIF(Vertices[Betweenness Centrality],"&gt;= "&amp;J23)-COUNTIF(Vertices[Betweenness Centrality],"&gt;="&amp;J24)</f>
        <v>1</v>
      </c>
      <c r="L23" s="39">
        <f t="shared" si="5"/>
        <v>0.0008767499999999996</v>
      </c>
      <c r="M23" s="40">
        <f>COUNTIF(Vertices[Closeness Centrality],"&gt;= "&amp;L23)-COUNTIF(Vertices[Closeness Centrality],"&gt;="&amp;L24)</f>
        <v>6</v>
      </c>
      <c r="N23" s="39">
        <f t="shared" si="6"/>
        <v>0.0169995625</v>
      </c>
      <c r="O23" s="40">
        <f>COUNTIF(Vertices[Eigenvector Centrality],"&gt;= "&amp;N23)-COUNTIF(Vertices[Eigenvector Centrality],"&gt;="&amp;N24)</f>
        <v>0</v>
      </c>
      <c r="P23" s="39">
        <f t="shared" si="7"/>
        <v>4.292186624999999</v>
      </c>
      <c r="Q23" s="40">
        <f>COUNTIF(Vertices[PageRank],"&gt;= "&amp;P23)-COUNTIF(Vertices[PageRank],"&gt;="&amp;P24)</f>
        <v>0</v>
      </c>
      <c r="R23" s="39">
        <f t="shared" si="8"/>
        <v>0.21874999999999992</v>
      </c>
      <c r="S23" s="44">
        <f>COUNTIF(Vertices[Clustering Coefficient],"&gt;= "&amp;R23)-COUNTIF(Vertices[Clustering Coefficient],"&gt;="&amp;R24)</f>
        <v>0</v>
      </c>
      <c r="T23" s="39" t="e">
        <f ca="1" t="shared" si="9"/>
        <v>#REF!</v>
      </c>
      <c r="U23" s="40" t="e">
        <f ca="1" t="shared" si="0"/>
        <v>#REF!</v>
      </c>
    </row>
    <row r="24" spans="1:21" ht="15">
      <c r="A24" s="34" t="s">
        <v>2587</v>
      </c>
      <c r="B24" s="34">
        <v>0.656378</v>
      </c>
      <c r="D24" s="32">
        <f t="shared" si="1"/>
        <v>0</v>
      </c>
      <c r="E24" s="3">
        <f>COUNTIF(Vertices[Degree],"&gt;= "&amp;D24)-COUNTIF(Vertices[Degree],"&gt;="&amp;D25)</f>
        <v>0</v>
      </c>
      <c r="F24" s="37">
        <f t="shared" si="2"/>
        <v>5.041666666666667</v>
      </c>
      <c r="G24" s="38">
        <f>COUNTIF(Vertices[In-Degree],"&gt;= "&amp;F24)-COUNTIF(Vertices[In-Degree],"&gt;="&amp;F25)</f>
        <v>0</v>
      </c>
      <c r="H24" s="37">
        <f t="shared" si="3"/>
        <v>9.166666666666668</v>
      </c>
      <c r="I24" s="38">
        <f>COUNTIF(Vertices[Out-Degree],"&gt;= "&amp;H24)-COUNTIF(Vertices[Out-Degree],"&gt;="&amp;H25)</f>
        <v>0</v>
      </c>
      <c r="J24" s="37">
        <f t="shared" si="4"/>
        <v>10033.87652758334</v>
      </c>
      <c r="K24" s="38">
        <f>COUNTIF(Vertices[Betweenness Centrality],"&gt;= "&amp;J24)-COUNTIF(Vertices[Betweenness Centrality],"&gt;="&amp;J25)</f>
        <v>7</v>
      </c>
      <c r="L24" s="37">
        <f t="shared" si="5"/>
        <v>0.0008904999999999996</v>
      </c>
      <c r="M24" s="38">
        <f>COUNTIF(Vertices[Closeness Centrality],"&gt;= "&amp;L24)-COUNTIF(Vertices[Closeness Centrality],"&gt;="&amp;L25)</f>
        <v>7</v>
      </c>
      <c r="N24" s="37">
        <f t="shared" si="6"/>
        <v>0.017808541666666667</v>
      </c>
      <c r="O24" s="38">
        <f>COUNTIF(Vertices[Eigenvector Centrality],"&gt;= "&amp;N24)-COUNTIF(Vertices[Eigenvector Centrality],"&gt;="&amp;N25)</f>
        <v>1</v>
      </c>
      <c r="P24" s="37">
        <f t="shared" si="7"/>
        <v>4.47981875</v>
      </c>
      <c r="Q24" s="38">
        <f>COUNTIF(Vertices[PageRank],"&gt;= "&amp;P24)-COUNTIF(Vertices[PageRank],"&gt;="&amp;P25)</f>
        <v>0</v>
      </c>
      <c r="R24" s="37">
        <f t="shared" si="8"/>
        <v>0.22916666666666657</v>
      </c>
      <c r="S24" s="43">
        <f>COUNTIF(Vertices[Clustering Coefficient],"&gt;= "&amp;R24)-COUNTIF(Vertices[Clustering Coefficient],"&gt;="&amp;R25)</f>
        <v>0</v>
      </c>
      <c r="T24" s="37" t="e">
        <f ca="1" t="shared" si="9"/>
        <v>#REF!</v>
      </c>
      <c r="U24" s="38" t="e">
        <f ca="1" t="shared" si="0"/>
        <v>#REF!</v>
      </c>
    </row>
    <row r="25" spans="1:21" ht="15">
      <c r="A25" s="120"/>
      <c r="B25" s="120"/>
      <c r="D25" s="32">
        <f t="shared" si="1"/>
        <v>0</v>
      </c>
      <c r="E25" s="3">
        <f>COUNTIF(Vertices[Degree],"&gt;= "&amp;D25)-COUNTIF(Vertices[Degree],"&gt;="&amp;D26)</f>
        <v>0</v>
      </c>
      <c r="F25" s="39">
        <f t="shared" si="2"/>
        <v>5.270833333333334</v>
      </c>
      <c r="G25" s="40">
        <f>COUNTIF(Vertices[In-Degree],"&gt;= "&amp;F25)-COUNTIF(Vertices[In-Degree],"&gt;="&amp;F26)</f>
        <v>0</v>
      </c>
      <c r="H25" s="39">
        <f t="shared" si="3"/>
        <v>9.583333333333334</v>
      </c>
      <c r="I25" s="40">
        <f>COUNTIF(Vertices[Out-Degree],"&gt;= "&amp;H25)-COUNTIF(Vertices[Out-Degree],"&gt;="&amp;H26)</f>
        <v>0</v>
      </c>
      <c r="J25" s="39">
        <f t="shared" si="4"/>
        <v>10489.961824291673</v>
      </c>
      <c r="K25" s="40">
        <f>COUNTIF(Vertices[Betweenness Centrality],"&gt;= "&amp;J25)-COUNTIF(Vertices[Betweenness Centrality],"&gt;="&amp;J26)</f>
        <v>1</v>
      </c>
      <c r="L25" s="39">
        <f t="shared" si="5"/>
        <v>0.0009042499999999996</v>
      </c>
      <c r="M25" s="40">
        <f>COUNTIF(Vertices[Closeness Centrality],"&gt;= "&amp;L25)-COUNTIF(Vertices[Closeness Centrality],"&gt;="&amp;L26)</f>
        <v>1</v>
      </c>
      <c r="N25" s="39">
        <f t="shared" si="6"/>
        <v>0.018617520833333335</v>
      </c>
      <c r="O25" s="40">
        <f>COUNTIF(Vertices[Eigenvector Centrality],"&gt;= "&amp;N25)-COUNTIF(Vertices[Eigenvector Centrality],"&gt;="&amp;N26)</f>
        <v>3</v>
      </c>
      <c r="P25" s="39">
        <f t="shared" si="7"/>
        <v>4.667450875</v>
      </c>
      <c r="Q25" s="40">
        <f>COUNTIF(Vertices[PageRank],"&gt;= "&amp;P25)-COUNTIF(Vertices[PageRank],"&gt;="&amp;P26)</f>
        <v>1</v>
      </c>
      <c r="R25" s="39">
        <f t="shared" si="8"/>
        <v>0.23958333333333323</v>
      </c>
      <c r="S25" s="44">
        <f>COUNTIF(Vertices[Clustering Coefficient],"&gt;= "&amp;R25)-COUNTIF(Vertices[Clustering Coefficient],"&gt;="&amp;R26)</f>
        <v>0</v>
      </c>
      <c r="T25" s="39" t="e">
        <f ca="1" t="shared" si="9"/>
        <v>#REF!</v>
      </c>
      <c r="U25" s="40" t="e">
        <f ca="1" t="shared" si="0"/>
        <v>#REF!</v>
      </c>
    </row>
    <row r="26" spans="1:21" ht="15">
      <c r="A26" s="34" t="s">
        <v>2588</v>
      </c>
      <c r="B26" s="34" t="s">
        <v>2602</v>
      </c>
      <c r="D26" s="32">
        <f t="shared" si="1"/>
        <v>0</v>
      </c>
      <c r="E26" s="3">
        <f>COUNTIF(Vertices[Degree],"&gt;= "&amp;D26)-COUNTIF(Vertices[Degree],"&gt;="&amp;D28)</f>
        <v>0</v>
      </c>
      <c r="F26" s="37">
        <f t="shared" si="2"/>
        <v>5.500000000000001</v>
      </c>
      <c r="G26" s="38">
        <f>COUNTIF(Vertices[In-Degree],"&gt;= "&amp;F26)-COUNTIF(Vertices[In-Degree],"&gt;="&amp;F28)</f>
        <v>0</v>
      </c>
      <c r="H26" s="37">
        <f t="shared" si="3"/>
        <v>10</v>
      </c>
      <c r="I26" s="38">
        <f>COUNTIF(Vertices[Out-Degree],"&gt;= "&amp;H26)-COUNTIF(Vertices[Out-Degree],"&gt;="&amp;H28)</f>
        <v>0</v>
      </c>
      <c r="J26" s="37">
        <f t="shared" si="4"/>
        <v>10946.047121000007</v>
      </c>
      <c r="K26" s="38">
        <f>COUNTIF(Vertices[Betweenness Centrality],"&gt;= "&amp;J26)-COUNTIF(Vertices[Betweenness Centrality],"&gt;="&amp;J28)</f>
        <v>0</v>
      </c>
      <c r="L26" s="37">
        <f t="shared" si="5"/>
        <v>0.0009179999999999995</v>
      </c>
      <c r="M26" s="38">
        <f>COUNTIF(Vertices[Closeness Centrality],"&gt;= "&amp;L26)-COUNTIF(Vertices[Closeness Centrality],"&gt;="&amp;L28)</f>
        <v>8</v>
      </c>
      <c r="N26" s="37">
        <f t="shared" si="6"/>
        <v>0.019426500000000003</v>
      </c>
      <c r="O26" s="38">
        <f>COUNTIF(Vertices[Eigenvector Centrality],"&gt;= "&amp;N26)-COUNTIF(Vertices[Eigenvector Centrality],"&gt;="&amp;N28)</f>
        <v>2</v>
      </c>
      <c r="P26" s="37">
        <f t="shared" si="7"/>
        <v>4.8550830000000005</v>
      </c>
      <c r="Q26" s="38">
        <f>COUNTIF(Vertices[PageRank],"&gt;= "&amp;P26)-COUNTIF(Vertices[PageRank],"&gt;="&amp;P28)</f>
        <v>0</v>
      </c>
      <c r="R26" s="37">
        <f t="shared" si="8"/>
        <v>0.2499999999999999</v>
      </c>
      <c r="S26" s="43">
        <f>COUNTIF(Vertices[Clustering Coefficient],"&gt;= "&amp;R26)-COUNTIF(Vertices[Clustering Coefficient],"&gt;="&amp;R28)</f>
        <v>3</v>
      </c>
      <c r="T26" s="37" t="e">
        <f ca="1" t="shared" si="9"/>
        <v>#REF!</v>
      </c>
      <c r="U26" s="38" t="e">
        <f ca="1">COUNTIF(INDIRECT(DynamicFilterSourceColumnRange),"&gt;= "&amp;T26)-COUNTIF(INDIRECT(DynamicFilterSourceColumnRange),"&gt;="&amp;T28)</f>
        <v>#REF!</v>
      </c>
    </row>
    <row r="27" spans="1:21" ht="15">
      <c r="A27" s="120"/>
      <c r="B27" s="120"/>
      <c r="D27" s="32"/>
      <c r="E27" s="3">
        <f>COUNTIF(Vertices[Degree],"&gt;= "&amp;D27)-COUNTIF(Vertices[Degree],"&gt;="&amp;D28)</f>
        <v>0</v>
      </c>
      <c r="F27" s="62"/>
      <c r="G27" s="63">
        <f>COUNTIF(Vertices[In-Degree],"&gt;= "&amp;F27)-COUNTIF(Vertices[In-Degree],"&gt;="&amp;F28)</f>
        <v>-8</v>
      </c>
      <c r="H27" s="62"/>
      <c r="I27" s="63">
        <f>COUNTIF(Vertices[Out-Degree],"&gt;= "&amp;H27)-COUNTIF(Vertices[Out-Degree],"&gt;="&amp;H28)</f>
        <v>-20</v>
      </c>
      <c r="J27" s="62"/>
      <c r="K27" s="63">
        <f>COUNTIF(Vertices[Betweenness Centrality],"&gt;= "&amp;J27)-COUNTIF(Vertices[Betweenness Centrality],"&gt;="&amp;J28)</f>
        <v>-5</v>
      </c>
      <c r="L27" s="62"/>
      <c r="M27" s="63">
        <f>COUNTIF(Vertices[Closeness Centrality],"&gt;= "&amp;L27)-COUNTIF(Vertices[Closeness Centrality],"&gt;="&amp;L28)</f>
        <v>-38</v>
      </c>
      <c r="N27" s="62"/>
      <c r="O27" s="63">
        <f>COUNTIF(Vertices[Eigenvector Centrality],"&gt;= "&amp;N27)-COUNTIF(Vertices[Eigenvector Centrality],"&gt;="&amp;N28)</f>
        <v>-11</v>
      </c>
      <c r="P27" s="62"/>
      <c r="Q27" s="63">
        <f>COUNTIF(Vertices[Eigenvector Centrality],"&gt;= "&amp;P27)-COUNTIF(Vertices[Eigenvector Centrality],"&gt;="&amp;P28)</f>
        <v>0</v>
      </c>
      <c r="R27" s="62"/>
      <c r="S27" s="64">
        <f>COUNTIF(Vertices[Clustering Coefficient],"&gt;= "&amp;R27)-COUNTIF(Vertices[Clustering Coefficient],"&gt;="&amp;R28)</f>
        <v>-7</v>
      </c>
      <c r="T27" s="62"/>
      <c r="U27" s="63">
        <f ca="1">COUNTIF(Vertices[Clustering Coefficient],"&gt;= "&amp;T27)-COUNTIF(Vertices[Clustering Coefficient],"&gt;="&amp;T28)</f>
        <v>0</v>
      </c>
    </row>
    <row r="28" spans="1:21" ht="15">
      <c r="A28" s="34" t="s">
        <v>2589</v>
      </c>
      <c r="B28" s="34" t="s">
        <v>2769</v>
      </c>
      <c r="D28" s="32">
        <f>D26+($D$50-$D$2)/BinDivisor</f>
        <v>0</v>
      </c>
      <c r="E28" s="3">
        <f>COUNTIF(Vertices[Degree],"&gt;= "&amp;D28)-COUNTIF(Vertices[Degree],"&gt;="&amp;D42)</f>
        <v>0</v>
      </c>
      <c r="F28" s="39">
        <f>F26+($F$50-$F$2)/BinDivisor</f>
        <v>5.729166666666668</v>
      </c>
      <c r="G28" s="40">
        <f>COUNTIF(Vertices[In-Degree],"&gt;= "&amp;F28)-COUNTIF(Vertices[In-Degree],"&gt;="&amp;F42)</f>
        <v>0</v>
      </c>
      <c r="H28" s="39">
        <f>H26+($H$50-$H$2)/BinDivisor</f>
        <v>10.416666666666666</v>
      </c>
      <c r="I28" s="40">
        <f>COUNTIF(Vertices[Out-Degree],"&gt;= "&amp;H28)-COUNTIF(Vertices[Out-Degree],"&gt;="&amp;H42)</f>
        <v>0</v>
      </c>
      <c r="J28" s="39">
        <f>J26+($J$50-$J$2)/BinDivisor</f>
        <v>11402.13241770834</v>
      </c>
      <c r="K28" s="40">
        <f>COUNTIF(Vertices[Betweenness Centrality],"&gt;= "&amp;J28)-COUNTIF(Vertices[Betweenness Centrality],"&gt;="&amp;J42)</f>
        <v>0</v>
      </c>
      <c r="L28" s="39">
        <f>L26+($L$50-$L$2)/BinDivisor</f>
        <v>0.0009317499999999995</v>
      </c>
      <c r="M28" s="40">
        <f>COUNTIF(Vertices[Closeness Centrality],"&gt;= "&amp;L28)-COUNTIF(Vertices[Closeness Centrality],"&gt;="&amp;L42)</f>
        <v>0</v>
      </c>
      <c r="N28" s="39">
        <f>N26+($N$50-$N$2)/BinDivisor</f>
        <v>0.02023547916666667</v>
      </c>
      <c r="O28" s="40">
        <f>COUNTIF(Vertices[Eigenvector Centrality],"&gt;= "&amp;N28)-COUNTIF(Vertices[Eigenvector Centrality],"&gt;="&amp;N42)</f>
        <v>2</v>
      </c>
      <c r="P28" s="39">
        <f>P26+($P$50-$P$2)/BinDivisor</f>
        <v>5.042715125000001</v>
      </c>
      <c r="Q28" s="40">
        <f>COUNTIF(Vertices[PageRank],"&gt;= "&amp;P28)-COUNTIF(Vertices[PageRank],"&gt;="&amp;P42)</f>
        <v>1</v>
      </c>
      <c r="R28" s="39">
        <f>R26+($R$50-$R$2)/BinDivisor</f>
        <v>0.2604166666666666</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0"/>
      <c r="B29" s="120"/>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2590</v>
      </c>
      <c r="B30" s="34" t="s">
        <v>2764</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34" t="s">
        <v>2591</v>
      </c>
      <c r="B31" s="34" t="s">
        <v>2765</v>
      </c>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409.5">
      <c r="A32" s="34" t="s">
        <v>2592</v>
      </c>
      <c r="B32" s="52" t="s">
        <v>2766</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1:21" ht="15">
      <c r="A33" s="34" t="s">
        <v>2593</v>
      </c>
      <c r="B33" s="34" t="s">
        <v>2767</v>
      </c>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1:21" ht="15">
      <c r="A34" s="34" t="s">
        <v>2594</v>
      </c>
      <c r="B34" s="34" t="s">
        <v>2768</v>
      </c>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1:21" ht="15">
      <c r="A35" s="34" t="s">
        <v>2595</v>
      </c>
      <c r="B35" s="34" t="s">
        <v>1706</v>
      </c>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1:21" ht="15">
      <c r="A36" s="34" t="s">
        <v>2596</v>
      </c>
      <c r="B36" s="34" t="s">
        <v>1706</v>
      </c>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1:21" ht="15">
      <c r="A37" s="34" t="s">
        <v>2597</v>
      </c>
      <c r="B37" s="34" t="s">
        <v>1706</v>
      </c>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1:21" ht="15">
      <c r="A38" s="34" t="s">
        <v>2598</v>
      </c>
      <c r="B38" s="34"/>
      <c r="D38" s="32"/>
      <c r="E38" s="3">
        <f>COUNTIF(Vertices[Degree],"&gt;= "&amp;D38)-COUNTIF(Vertices[Degree],"&gt;="&amp;D42)</f>
        <v>0</v>
      </c>
      <c r="F38" s="62"/>
      <c r="G38" s="63">
        <f>COUNTIF(Vertices[In-Degree],"&gt;= "&amp;F38)-COUNTIF(Vertices[In-Degree],"&gt;="&amp;F42)</f>
        <v>-8</v>
      </c>
      <c r="H38" s="62"/>
      <c r="I38" s="63">
        <f>COUNTIF(Vertices[Out-Degree],"&gt;= "&amp;H38)-COUNTIF(Vertices[Out-Degree],"&gt;="&amp;H42)</f>
        <v>-20</v>
      </c>
      <c r="J38" s="62"/>
      <c r="K38" s="63">
        <f>COUNTIF(Vertices[Betweenness Centrality],"&gt;= "&amp;J38)-COUNTIF(Vertices[Betweenness Centrality],"&gt;="&amp;J42)</f>
        <v>-5</v>
      </c>
      <c r="L38" s="62"/>
      <c r="M38" s="63">
        <f>COUNTIF(Vertices[Closeness Centrality],"&gt;= "&amp;L38)-COUNTIF(Vertices[Closeness Centrality],"&gt;="&amp;L42)</f>
        <v>-38</v>
      </c>
      <c r="N38" s="62"/>
      <c r="O38" s="63">
        <f>COUNTIF(Vertices[Eigenvector Centrality],"&gt;= "&amp;N38)-COUNTIF(Vertices[Eigenvector Centrality],"&gt;="&amp;N42)</f>
        <v>-9</v>
      </c>
      <c r="P38" s="62"/>
      <c r="Q38" s="63">
        <f>COUNTIF(Vertices[Eigenvector Centrality],"&gt;= "&amp;P38)-COUNTIF(Vertices[Eigenvector Centrality],"&gt;="&amp;P42)</f>
        <v>0</v>
      </c>
      <c r="R38" s="62"/>
      <c r="S38" s="64">
        <f>COUNTIF(Vertices[Clustering Coefficient],"&gt;= "&amp;R38)-COUNTIF(Vertices[Clustering Coefficient],"&gt;="&amp;R42)</f>
        <v>-7</v>
      </c>
      <c r="T38" s="62"/>
      <c r="U38" s="63">
        <f ca="1">COUNTIF(Vertices[Clustering Coefficient],"&gt;= "&amp;T38)-COUNTIF(Vertices[Clustering Coefficient],"&gt;="&amp;T42)</f>
        <v>0</v>
      </c>
    </row>
    <row r="39" spans="1:21" ht="15">
      <c r="A39" s="34" t="s">
        <v>21</v>
      </c>
      <c r="B39" s="34"/>
      <c r="D39" s="32"/>
      <c r="E39" s="3">
        <f>COUNTIF(Vertices[Degree],"&gt;= "&amp;D39)-COUNTIF(Vertices[Degree],"&gt;="&amp;D42)</f>
        <v>0</v>
      </c>
      <c r="F39" s="62"/>
      <c r="G39" s="63">
        <f>COUNTIF(Vertices[In-Degree],"&gt;= "&amp;F39)-COUNTIF(Vertices[In-Degree],"&gt;="&amp;F42)</f>
        <v>-8</v>
      </c>
      <c r="H39" s="62"/>
      <c r="I39" s="63">
        <f>COUNTIF(Vertices[Out-Degree],"&gt;= "&amp;H39)-COUNTIF(Vertices[Out-Degree],"&gt;="&amp;H42)</f>
        <v>-20</v>
      </c>
      <c r="J39" s="62"/>
      <c r="K39" s="63">
        <f>COUNTIF(Vertices[Betweenness Centrality],"&gt;= "&amp;J39)-COUNTIF(Vertices[Betweenness Centrality],"&gt;="&amp;J42)</f>
        <v>-5</v>
      </c>
      <c r="L39" s="62"/>
      <c r="M39" s="63">
        <f>COUNTIF(Vertices[Closeness Centrality],"&gt;= "&amp;L39)-COUNTIF(Vertices[Closeness Centrality],"&gt;="&amp;L42)</f>
        <v>-38</v>
      </c>
      <c r="N39" s="62"/>
      <c r="O39" s="63">
        <f>COUNTIF(Vertices[Eigenvector Centrality],"&gt;= "&amp;N39)-COUNTIF(Vertices[Eigenvector Centrality],"&gt;="&amp;N42)</f>
        <v>-9</v>
      </c>
      <c r="P39" s="62"/>
      <c r="Q39" s="63">
        <f>COUNTIF(Vertices[Eigenvector Centrality],"&gt;= "&amp;P39)-COUNTIF(Vertices[Eigenvector Centrality],"&gt;="&amp;P42)</f>
        <v>0</v>
      </c>
      <c r="R39" s="62"/>
      <c r="S39" s="64">
        <f>COUNTIF(Vertices[Clustering Coefficient],"&gt;= "&amp;R39)-COUNTIF(Vertices[Clustering Coefficient],"&gt;="&amp;R42)</f>
        <v>-7</v>
      </c>
      <c r="T39" s="62"/>
      <c r="U39" s="63">
        <f ca="1">COUNTIF(Vertices[Clustering Coefficient],"&gt;= "&amp;T39)-COUNTIF(Vertices[Clustering Coefficient],"&gt;="&amp;T42)</f>
        <v>0</v>
      </c>
    </row>
    <row r="40" spans="1:21" ht="15">
      <c r="A40" s="34" t="s">
        <v>2599</v>
      </c>
      <c r="B40" s="34" t="s">
        <v>500</v>
      </c>
      <c r="D40" s="32"/>
      <c r="E40" s="3">
        <f>COUNTIF(Vertices[Degree],"&gt;= "&amp;D40)-COUNTIF(Vertices[Degree],"&gt;="&amp;D42)</f>
        <v>0</v>
      </c>
      <c r="F40" s="62"/>
      <c r="G40" s="63">
        <f>COUNTIF(Vertices[In-Degree],"&gt;= "&amp;F40)-COUNTIF(Vertices[In-Degree],"&gt;="&amp;F42)</f>
        <v>-8</v>
      </c>
      <c r="H40" s="62"/>
      <c r="I40" s="63">
        <f>COUNTIF(Vertices[Out-Degree],"&gt;= "&amp;H40)-COUNTIF(Vertices[Out-Degree],"&gt;="&amp;H42)</f>
        <v>-20</v>
      </c>
      <c r="J40" s="62"/>
      <c r="K40" s="63">
        <f>COUNTIF(Vertices[Betweenness Centrality],"&gt;= "&amp;J40)-COUNTIF(Vertices[Betweenness Centrality],"&gt;="&amp;J42)</f>
        <v>-5</v>
      </c>
      <c r="L40" s="62"/>
      <c r="M40" s="63">
        <f>COUNTIF(Vertices[Closeness Centrality],"&gt;= "&amp;L40)-COUNTIF(Vertices[Closeness Centrality],"&gt;="&amp;L42)</f>
        <v>-38</v>
      </c>
      <c r="N40" s="62"/>
      <c r="O40" s="63">
        <f>COUNTIF(Vertices[Eigenvector Centrality],"&gt;= "&amp;N40)-COUNTIF(Vertices[Eigenvector Centrality],"&gt;="&amp;N42)</f>
        <v>-9</v>
      </c>
      <c r="P40" s="62"/>
      <c r="Q40" s="63">
        <f>COUNTIF(Vertices[Eigenvector Centrality],"&gt;= "&amp;P40)-COUNTIF(Vertices[Eigenvector Centrality],"&gt;="&amp;P42)</f>
        <v>0</v>
      </c>
      <c r="R40" s="62"/>
      <c r="S40" s="64">
        <f>COUNTIF(Vertices[Clustering Coefficient],"&gt;= "&amp;R40)-COUNTIF(Vertices[Clustering Coefficient],"&gt;="&amp;R42)</f>
        <v>-7</v>
      </c>
      <c r="T40" s="62"/>
      <c r="U40" s="63">
        <f ca="1">COUNTIF(Vertices[Clustering Coefficient],"&gt;= "&amp;T40)-COUNTIF(Vertices[Clustering Coefficient],"&gt;="&amp;T42)</f>
        <v>0</v>
      </c>
    </row>
    <row r="41" spans="1:21" ht="15">
      <c r="A41" s="34" t="s">
        <v>2600</v>
      </c>
      <c r="B41" s="34"/>
      <c r="D41" s="32"/>
      <c r="E41" s="3">
        <f>COUNTIF(Vertices[Degree],"&gt;= "&amp;D41)-COUNTIF(Vertices[Degree],"&gt;="&amp;D42)</f>
        <v>0</v>
      </c>
      <c r="F41" s="62"/>
      <c r="G41" s="63">
        <f>COUNTIF(Vertices[In-Degree],"&gt;= "&amp;F41)-COUNTIF(Vertices[In-Degree],"&gt;="&amp;F42)</f>
        <v>-8</v>
      </c>
      <c r="H41" s="62"/>
      <c r="I41" s="63">
        <f>COUNTIF(Vertices[Out-Degree],"&gt;= "&amp;H41)-COUNTIF(Vertices[Out-Degree],"&gt;="&amp;H42)</f>
        <v>-20</v>
      </c>
      <c r="J41" s="62"/>
      <c r="K41" s="63">
        <f>COUNTIF(Vertices[Betweenness Centrality],"&gt;= "&amp;J41)-COUNTIF(Vertices[Betweenness Centrality],"&gt;="&amp;J42)</f>
        <v>-5</v>
      </c>
      <c r="L41" s="62"/>
      <c r="M41" s="63">
        <f>COUNTIF(Vertices[Closeness Centrality],"&gt;= "&amp;L41)-COUNTIF(Vertices[Closeness Centrality],"&gt;="&amp;L42)</f>
        <v>-38</v>
      </c>
      <c r="N41" s="62"/>
      <c r="O41" s="63">
        <f>COUNTIF(Vertices[Eigenvector Centrality],"&gt;= "&amp;N41)-COUNTIF(Vertices[Eigenvector Centrality],"&gt;="&amp;N42)</f>
        <v>-9</v>
      </c>
      <c r="P41" s="62"/>
      <c r="Q41" s="63">
        <f>COUNTIF(Vertices[Eigenvector Centrality],"&gt;= "&amp;P41)-COUNTIF(Vertices[Eigenvector Centrality],"&gt;="&amp;P42)</f>
        <v>0</v>
      </c>
      <c r="R41" s="62"/>
      <c r="S41" s="64">
        <f>COUNTIF(Vertices[Clustering Coefficient],"&gt;= "&amp;R41)-COUNTIF(Vertices[Clustering Coefficient],"&gt;="&amp;R42)</f>
        <v>-7</v>
      </c>
      <c r="T41" s="62"/>
      <c r="U41" s="63">
        <f ca="1">COUNTIF(Vertices[Clustering Coefficient],"&gt;= "&amp;T41)-COUNTIF(Vertices[Clustering Coefficient],"&gt;="&amp;T42)</f>
        <v>0</v>
      </c>
    </row>
    <row r="42" spans="1:21" ht="15">
      <c r="A42" s="34" t="s">
        <v>2601</v>
      </c>
      <c r="B42" s="34"/>
      <c r="D42" s="32">
        <f>D28+($D$50-$D$2)/BinDivisor</f>
        <v>0</v>
      </c>
      <c r="E42" s="3">
        <f>COUNTIF(Vertices[Degree],"&gt;= "&amp;D42)-COUNTIF(Vertices[Degree],"&gt;="&amp;D43)</f>
        <v>0</v>
      </c>
      <c r="F42" s="37">
        <f>F28+($F$50-$F$2)/BinDivisor</f>
        <v>5.958333333333335</v>
      </c>
      <c r="G42" s="38">
        <f>COUNTIF(Vertices[In-Degree],"&gt;= "&amp;F42)-COUNTIF(Vertices[In-Degree],"&gt;="&amp;F43)</f>
        <v>1</v>
      </c>
      <c r="H42" s="37">
        <f>H28+($H$50-$H$2)/BinDivisor</f>
        <v>10.833333333333332</v>
      </c>
      <c r="I42" s="38">
        <f>COUNTIF(Vertices[Out-Degree],"&gt;= "&amp;H42)-COUNTIF(Vertices[Out-Degree],"&gt;="&amp;H43)</f>
        <v>0</v>
      </c>
      <c r="J42" s="37">
        <f>J28+($J$50-$J$2)/BinDivisor</f>
        <v>11858.217714416674</v>
      </c>
      <c r="K42" s="38">
        <f>COUNTIF(Vertices[Betweenness Centrality],"&gt;= "&amp;J42)-COUNTIF(Vertices[Betweenness Centrality],"&gt;="&amp;J43)</f>
        <v>0</v>
      </c>
      <c r="L42" s="37">
        <f>L28+($L$50-$L$2)/BinDivisor</f>
        <v>0.0009454999999999995</v>
      </c>
      <c r="M42" s="38">
        <f>COUNTIF(Vertices[Closeness Centrality],"&gt;= "&amp;L42)-COUNTIF(Vertices[Closeness Centrality],"&gt;="&amp;L43)</f>
        <v>2</v>
      </c>
      <c r="N42" s="37">
        <f>N28+($N$50-$N$2)/BinDivisor</f>
        <v>0.02104445833333334</v>
      </c>
      <c r="O42" s="38">
        <f>COUNTIF(Vertices[Eigenvector Centrality],"&gt;= "&amp;N42)-COUNTIF(Vertices[Eigenvector Centrality],"&gt;="&amp;N43)</f>
        <v>1</v>
      </c>
      <c r="P42" s="37">
        <f>P28+($P$50-$P$2)/BinDivisor</f>
        <v>5.230347250000001</v>
      </c>
      <c r="Q42" s="38">
        <f>COUNTIF(Vertices[PageRank],"&gt;= "&amp;P42)-COUNTIF(Vertices[PageRank],"&gt;="&amp;P43)</f>
        <v>1</v>
      </c>
      <c r="R42" s="37">
        <f>R28+($R$50-$R$2)/BinDivisor</f>
        <v>0.27083333333333326</v>
      </c>
      <c r="S42" s="43">
        <f>COUNTIF(Vertices[Clustering Coefficient],"&gt;= "&amp;R42)-COUNTIF(Vertices[Clustering Coefficient],"&gt;="&amp;R43)</f>
        <v>0</v>
      </c>
      <c r="T42" s="37" t="e">
        <f ca="1">T28+($T$50-$T$2)/BinDivisor</f>
        <v>#REF!</v>
      </c>
      <c r="U42" s="38" t="e">
        <f ca="1" t="shared" si="0"/>
        <v>#REF!</v>
      </c>
    </row>
    <row r="43" spans="4:21" ht="15">
      <c r="D43" s="32">
        <f aca="true" t="shared" si="10" ref="D43:D49">D42+($D$50-$D$2)/BinDivisor</f>
        <v>0</v>
      </c>
      <c r="E43" s="3">
        <f>COUNTIF(Vertices[Degree],"&gt;= "&amp;D43)-COUNTIF(Vertices[Degree],"&gt;="&amp;D44)</f>
        <v>0</v>
      </c>
      <c r="F43" s="39">
        <f aca="true" t="shared" si="11" ref="F43:F49">F42+($F$50-$F$2)/BinDivisor</f>
        <v>6.187500000000002</v>
      </c>
      <c r="G43" s="40">
        <f>COUNTIF(Vertices[In-Degree],"&gt;= "&amp;F43)-COUNTIF(Vertices[In-Degree],"&gt;="&amp;F44)</f>
        <v>0</v>
      </c>
      <c r="H43" s="39">
        <f aca="true" t="shared" si="12" ref="H43:H49">H42+($H$50-$H$2)/BinDivisor</f>
        <v>11.249999999999998</v>
      </c>
      <c r="I43" s="40">
        <f>COUNTIF(Vertices[Out-Degree],"&gt;= "&amp;H43)-COUNTIF(Vertices[Out-Degree],"&gt;="&amp;H44)</f>
        <v>0</v>
      </c>
      <c r="J43" s="39">
        <f aca="true" t="shared" si="13" ref="J43:J49">J42+($J$50-$J$2)/BinDivisor</f>
        <v>12314.303011125008</v>
      </c>
      <c r="K43" s="40">
        <f>COUNTIF(Vertices[Betweenness Centrality],"&gt;= "&amp;J43)-COUNTIF(Vertices[Betweenness Centrality],"&gt;="&amp;J44)</f>
        <v>0</v>
      </c>
      <c r="L43" s="39">
        <f aca="true" t="shared" si="14" ref="L43:L49">L42+($L$50-$L$2)/BinDivisor</f>
        <v>0.0009592499999999995</v>
      </c>
      <c r="M43" s="40">
        <f>COUNTIF(Vertices[Closeness Centrality],"&gt;= "&amp;L43)-COUNTIF(Vertices[Closeness Centrality],"&gt;="&amp;L44)</f>
        <v>3</v>
      </c>
      <c r="N43" s="39">
        <f aca="true" t="shared" si="15" ref="N43:N49">N42+($N$50-$N$2)/BinDivisor</f>
        <v>0.021853437500000007</v>
      </c>
      <c r="O43" s="40">
        <f>COUNTIF(Vertices[Eigenvector Centrality],"&gt;= "&amp;N43)-COUNTIF(Vertices[Eigenvector Centrality],"&gt;="&amp;N44)</f>
        <v>1</v>
      </c>
      <c r="P43" s="39">
        <f aca="true" t="shared" si="16" ref="P43:P49">P42+($P$50-$P$2)/BinDivisor</f>
        <v>5.417979375000002</v>
      </c>
      <c r="Q43" s="40">
        <f>COUNTIF(Vertices[PageRank],"&gt;= "&amp;P43)-COUNTIF(Vertices[PageRank],"&gt;="&amp;P44)</f>
        <v>2</v>
      </c>
      <c r="R43" s="39">
        <f aca="true" t="shared" si="17" ref="R43:R49">R42+($R$50-$R$2)/BinDivisor</f>
        <v>0.28124999999999994</v>
      </c>
      <c r="S43" s="44">
        <f>COUNTIF(Vertices[Clustering Coefficient],"&gt;= "&amp;R43)-COUNTIF(Vertices[Clustering Coefficient],"&gt;="&amp;R44)</f>
        <v>0</v>
      </c>
      <c r="T43" s="39" t="e">
        <f aca="true" t="shared" si="18" ref="T43:T49">T42+($T$50-$T$2)/BinDivisor</f>
        <v>#REF!</v>
      </c>
      <c r="U43" s="40" t="e">
        <f ca="1" t="shared" si="0"/>
        <v>#REF!</v>
      </c>
    </row>
    <row r="44" spans="4:21" ht="15">
      <c r="D44" s="32">
        <f t="shared" si="10"/>
        <v>0</v>
      </c>
      <c r="E44" s="3">
        <f>COUNTIF(Vertices[Degree],"&gt;= "&amp;D44)-COUNTIF(Vertices[Degree],"&gt;="&amp;D45)</f>
        <v>0</v>
      </c>
      <c r="F44" s="37">
        <f t="shared" si="11"/>
        <v>6.416666666666669</v>
      </c>
      <c r="G44" s="38">
        <f>COUNTIF(Vertices[In-Degree],"&gt;= "&amp;F44)-COUNTIF(Vertices[In-Degree],"&gt;="&amp;F45)</f>
        <v>0</v>
      </c>
      <c r="H44" s="37">
        <f t="shared" si="12"/>
        <v>11.666666666666664</v>
      </c>
      <c r="I44" s="38">
        <f>COUNTIF(Vertices[Out-Degree],"&gt;= "&amp;H44)-COUNTIF(Vertices[Out-Degree],"&gt;="&amp;H45)</f>
        <v>0</v>
      </c>
      <c r="J44" s="37">
        <f t="shared" si="13"/>
        <v>12770.388307833342</v>
      </c>
      <c r="K44" s="38">
        <f>COUNTIF(Vertices[Betweenness Centrality],"&gt;= "&amp;J44)-COUNTIF(Vertices[Betweenness Centrality],"&gt;="&amp;J45)</f>
        <v>1</v>
      </c>
      <c r="L44" s="37">
        <f t="shared" si="14"/>
        <v>0.0009729999999999995</v>
      </c>
      <c r="M44" s="38">
        <f>COUNTIF(Vertices[Closeness Centrality],"&gt;= "&amp;L44)-COUNTIF(Vertices[Closeness Centrality],"&gt;="&amp;L45)</f>
        <v>1</v>
      </c>
      <c r="N44" s="37">
        <f t="shared" si="15"/>
        <v>0.022662416666666674</v>
      </c>
      <c r="O44" s="38">
        <f>COUNTIF(Vertices[Eigenvector Centrality],"&gt;= "&amp;N44)-COUNTIF(Vertices[Eigenvector Centrality],"&gt;="&amp;N45)</f>
        <v>0</v>
      </c>
      <c r="P44" s="37">
        <f t="shared" si="16"/>
        <v>5.605611500000002</v>
      </c>
      <c r="Q44" s="38">
        <f>COUNTIF(Vertices[PageRank],"&gt;= "&amp;P44)-COUNTIF(Vertices[PageRank],"&gt;="&amp;P45)</f>
        <v>3</v>
      </c>
      <c r="R44" s="37">
        <f t="shared" si="17"/>
        <v>0.29166666666666663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6.645833333333336</v>
      </c>
      <c r="G45" s="40">
        <f>COUNTIF(Vertices[In-Degree],"&gt;= "&amp;F45)-COUNTIF(Vertices[In-Degree],"&gt;="&amp;F46)</f>
        <v>0</v>
      </c>
      <c r="H45" s="39">
        <f t="shared" si="12"/>
        <v>12.08333333333333</v>
      </c>
      <c r="I45" s="40">
        <f>COUNTIF(Vertices[Out-Degree],"&gt;= "&amp;H45)-COUNTIF(Vertices[Out-Degree],"&gt;="&amp;H46)</f>
        <v>0</v>
      </c>
      <c r="J45" s="39">
        <f t="shared" si="13"/>
        <v>13226.473604541676</v>
      </c>
      <c r="K45" s="40">
        <f>COUNTIF(Vertices[Betweenness Centrality],"&gt;= "&amp;J45)-COUNTIF(Vertices[Betweenness Centrality],"&gt;="&amp;J46)</f>
        <v>1</v>
      </c>
      <c r="L45" s="39">
        <f t="shared" si="14"/>
        <v>0.0009867499999999996</v>
      </c>
      <c r="M45" s="40">
        <f>COUNTIF(Vertices[Closeness Centrality],"&gt;= "&amp;L45)-COUNTIF(Vertices[Closeness Centrality],"&gt;="&amp;L46)</f>
        <v>1</v>
      </c>
      <c r="N45" s="39">
        <f t="shared" si="15"/>
        <v>0.023471395833333342</v>
      </c>
      <c r="O45" s="40">
        <f>COUNTIF(Vertices[Eigenvector Centrality],"&gt;= "&amp;N45)-COUNTIF(Vertices[Eigenvector Centrality],"&gt;="&amp;N46)</f>
        <v>1</v>
      </c>
      <c r="P45" s="39">
        <f t="shared" si="16"/>
        <v>5.793243625000002</v>
      </c>
      <c r="Q45" s="40">
        <f>COUNTIF(Vertices[PageRank],"&gt;= "&amp;P45)-COUNTIF(Vertices[PageRank],"&gt;="&amp;P46)</f>
        <v>1</v>
      </c>
      <c r="R45" s="39">
        <f t="shared" si="17"/>
        <v>0.3020833333333333</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6.875000000000003</v>
      </c>
      <c r="G46" s="38">
        <f>COUNTIF(Vertices[In-Degree],"&gt;= "&amp;F46)-COUNTIF(Vertices[In-Degree],"&gt;="&amp;F47)</f>
        <v>3</v>
      </c>
      <c r="H46" s="37">
        <f t="shared" si="12"/>
        <v>12.499999999999996</v>
      </c>
      <c r="I46" s="38">
        <f>COUNTIF(Vertices[Out-Degree],"&gt;= "&amp;H46)-COUNTIF(Vertices[Out-Degree],"&gt;="&amp;H47)</f>
        <v>0</v>
      </c>
      <c r="J46" s="37">
        <f t="shared" si="13"/>
        <v>13682.55890125001</v>
      </c>
      <c r="K46" s="38">
        <f>COUNTIF(Vertices[Betweenness Centrality],"&gt;= "&amp;J46)-COUNTIF(Vertices[Betweenness Centrality],"&gt;="&amp;J47)</f>
        <v>0</v>
      </c>
      <c r="L46" s="37">
        <f t="shared" si="14"/>
        <v>0.0010004999999999997</v>
      </c>
      <c r="M46" s="38">
        <f>COUNTIF(Vertices[Closeness Centrality],"&gt;= "&amp;L46)-COUNTIF(Vertices[Closeness Centrality],"&gt;="&amp;L47)</f>
        <v>2</v>
      </c>
      <c r="N46" s="37">
        <f t="shared" si="15"/>
        <v>0.02428037500000001</v>
      </c>
      <c r="O46" s="38">
        <f>COUNTIF(Vertices[Eigenvector Centrality],"&gt;= "&amp;N46)-COUNTIF(Vertices[Eigenvector Centrality],"&gt;="&amp;N47)</f>
        <v>1</v>
      </c>
      <c r="P46" s="37">
        <f t="shared" si="16"/>
        <v>5.980875750000003</v>
      </c>
      <c r="Q46" s="38">
        <f>COUNTIF(Vertices[PageRank],"&gt;= "&amp;P46)-COUNTIF(Vertices[PageRank],"&gt;="&amp;P47)</f>
        <v>1</v>
      </c>
      <c r="R46" s="37">
        <f t="shared" si="17"/>
        <v>0.3125</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7.10416666666667</v>
      </c>
      <c r="G47" s="40">
        <f>COUNTIF(Vertices[In-Degree],"&gt;= "&amp;F47)-COUNTIF(Vertices[In-Degree],"&gt;="&amp;F48)</f>
        <v>0</v>
      </c>
      <c r="H47" s="39">
        <f t="shared" si="12"/>
        <v>12.916666666666663</v>
      </c>
      <c r="I47" s="40">
        <f>COUNTIF(Vertices[Out-Degree],"&gt;= "&amp;H47)-COUNTIF(Vertices[Out-Degree],"&gt;="&amp;H48)</f>
        <v>0</v>
      </c>
      <c r="J47" s="39">
        <f t="shared" si="13"/>
        <v>14138.644197958343</v>
      </c>
      <c r="K47" s="40">
        <f>COUNTIF(Vertices[Betweenness Centrality],"&gt;= "&amp;J47)-COUNTIF(Vertices[Betweenness Centrality],"&gt;="&amp;J48)</f>
        <v>0</v>
      </c>
      <c r="L47" s="39">
        <f t="shared" si="14"/>
        <v>0.0010142499999999997</v>
      </c>
      <c r="M47" s="40">
        <f>COUNTIF(Vertices[Closeness Centrality],"&gt;= "&amp;L47)-COUNTIF(Vertices[Closeness Centrality],"&gt;="&amp;L48)</f>
        <v>1</v>
      </c>
      <c r="N47" s="39">
        <f t="shared" si="15"/>
        <v>0.025089354166666678</v>
      </c>
      <c r="O47" s="40">
        <f>COUNTIF(Vertices[Eigenvector Centrality],"&gt;= "&amp;N47)-COUNTIF(Vertices[Eigenvector Centrality],"&gt;="&amp;N48)</f>
        <v>0</v>
      </c>
      <c r="P47" s="39">
        <f t="shared" si="16"/>
        <v>6.168507875000003</v>
      </c>
      <c r="Q47" s="40">
        <f>COUNTIF(Vertices[PageRank],"&gt;= "&amp;P47)-COUNTIF(Vertices[PageRank],"&gt;="&amp;P48)</f>
        <v>1</v>
      </c>
      <c r="R47" s="39">
        <f t="shared" si="17"/>
        <v>0.3229166666666667</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7.333333333333337</v>
      </c>
      <c r="G48" s="38">
        <f>COUNTIF(Vertices[In-Degree],"&gt;= "&amp;F48)-COUNTIF(Vertices[In-Degree],"&gt;="&amp;F49)</f>
        <v>0</v>
      </c>
      <c r="H48" s="37">
        <f t="shared" si="12"/>
        <v>13.333333333333329</v>
      </c>
      <c r="I48" s="38">
        <f>COUNTIF(Vertices[Out-Degree],"&gt;= "&amp;H48)-COUNTIF(Vertices[Out-Degree],"&gt;="&amp;H49)</f>
        <v>0</v>
      </c>
      <c r="J48" s="37">
        <f t="shared" si="13"/>
        <v>14594.729494666677</v>
      </c>
      <c r="K48" s="38">
        <f>COUNTIF(Vertices[Betweenness Centrality],"&gt;= "&amp;J48)-COUNTIF(Vertices[Betweenness Centrality],"&gt;="&amp;J49)</f>
        <v>0</v>
      </c>
      <c r="L48" s="37">
        <f t="shared" si="14"/>
        <v>0.0010279999999999998</v>
      </c>
      <c r="M48" s="38">
        <f>COUNTIF(Vertices[Closeness Centrality],"&gt;= "&amp;L48)-COUNTIF(Vertices[Closeness Centrality],"&gt;="&amp;L49)</f>
        <v>2</v>
      </c>
      <c r="N48" s="37">
        <f t="shared" si="15"/>
        <v>0.025898333333333346</v>
      </c>
      <c r="O48" s="38">
        <f>COUNTIF(Vertices[Eigenvector Centrality],"&gt;= "&amp;N48)-COUNTIF(Vertices[Eigenvector Centrality],"&gt;="&amp;N49)</f>
        <v>0</v>
      </c>
      <c r="P48" s="37">
        <f t="shared" si="16"/>
        <v>6.3561400000000035</v>
      </c>
      <c r="Q48" s="38">
        <f>COUNTIF(Vertices[PageRank],"&gt;= "&amp;P48)-COUNTIF(Vertices[PageRank],"&gt;="&amp;P49)</f>
        <v>2</v>
      </c>
      <c r="R48" s="37">
        <f t="shared" si="17"/>
        <v>0.33333333333333337</v>
      </c>
      <c r="S48" s="43">
        <f>COUNTIF(Vertices[Clustering Coefficient],"&gt;= "&amp;R48)-COUNTIF(Vertices[Clustering Coefficient],"&gt;="&amp;R49)</f>
        <v>1</v>
      </c>
      <c r="T48" s="37" t="e">
        <f ca="1" t="shared" si="18"/>
        <v>#REF!</v>
      </c>
      <c r="U48" s="38" t="e">
        <f ca="1" t="shared" si="0"/>
        <v>#REF!</v>
      </c>
    </row>
    <row r="49" spans="4:21" ht="15">
      <c r="D49" s="32">
        <f t="shared" si="10"/>
        <v>0</v>
      </c>
      <c r="E49" s="3">
        <f>COUNTIF(Vertices[Degree],"&gt;= "&amp;D49)-COUNTIF(Vertices[Degree],"&gt;="&amp;#REF!)</f>
        <v>0</v>
      </c>
      <c r="F49" s="39">
        <f t="shared" si="11"/>
        <v>7.5625000000000036</v>
      </c>
      <c r="G49" s="40">
        <f>COUNTIF(Vertices[In-Degree],"&gt;= "&amp;F49)-COUNTIF(Vertices[In-Degree],"&gt;="&amp;#REF!)</f>
        <v>4</v>
      </c>
      <c r="H49" s="39">
        <f t="shared" si="12"/>
        <v>13.749999999999995</v>
      </c>
      <c r="I49" s="40">
        <f>COUNTIF(Vertices[Out-Degree],"&gt;= "&amp;H49)-COUNTIF(Vertices[Out-Degree],"&gt;="&amp;#REF!)</f>
        <v>20</v>
      </c>
      <c r="J49" s="39">
        <f t="shared" si="13"/>
        <v>15050.81479137501</v>
      </c>
      <c r="K49" s="40">
        <f>COUNTIF(Vertices[Betweenness Centrality],"&gt;= "&amp;J49)-COUNTIF(Vertices[Betweenness Centrality],"&gt;="&amp;#REF!)</f>
        <v>3</v>
      </c>
      <c r="L49" s="39">
        <f t="shared" si="14"/>
        <v>0.00104175</v>
      </c>
      <c r="M49" s="40">
        <f>COUNTIF(Vertices[Closeness Centrality],"&gt;= "&amp;L49)-COUNTIF(Vertices[Closeness Centrality],"&gt;="&amp;#REF!)</f>
        <v>26</v>
      </c>
      <c r="N49" s="39">
        <f t="shared" si="15"/>
        <v>0.026707312500000014</v>
      </c>
      <c r="O49" s="40">
        <f>COUNTIF(Vertices[Eigenvector Centrality],"&gt;= "&amp;N49)-COUNTIF(Vertices[Eigenvector Centrality],"&gt;="&amp;#REF!)</f>
        <v>5</v>
      </c>
      <c r="P49" s="39">
        <f t="shared" si="16"/>
        <v>6.543772125000004</v>
      </c>
      <c r="Q49" s="40">
        <f>COUNTIF(Vertices[PageRank],"&gt;= "&amp;P49)-COUNTIF(Vertices[PageRank],"&gt;="&amp;#REF!)</f>
        <v>7</v>
      </c>
      <c r="R49" s="39">
        <f t="shared" si="17"/>
        <v>0.34375000000000006</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11</v>
      </c>
      <c r="G50" s="42">
        <f>COUNTIF(Vertices[In-Degree],"&gt;= "&amp;F50)-COUNTIF(Vertices[In-Degree],"&gt;="&amp;#REF!)</f>
        <v>1</v>
      </c>
      <c r="H50" s="41">
        <f>MAX(Vertices[Out-Degree])</f>
        <v>20</v>
      </c>
      <c r="I50" s="42">
        <f>COUNTIF(Vertices[Out-Degree],"&gt;= "&amp;H50)-COUNTIF(Vertices[Out-Degree],"&gt;="&amp;#REF!)</f>
        <v>20</v>
      </c>
      <c r="J50" s="41">
        <f>MAX(Vertices[Betweenness Centrality])</f>
        <v>21892.094242</v>
      </c>
      <c r="K50" s="42">
        <f>COUNTIF(Vertices[Betweenness Centrality],"&gt;= "&amp;J50)-COUNTIF(Vertices[Betweenness Centrality],"&gt;="&amp;#REF!)</f>
        <v>1</v>
      </c>
      <c r="L50" s="41">
        <f>MAX(Vertices[Closeness Centrality])</f>
        <v>0.001248</v>
      </c>
      <c r="M50" s="42">
        <f>COUNTIF(Vertices[Closeness Centrality],"&gt;= "&amp;L50)-COUNTIF(Vertices[Closeness Centrality],"&gt;="&amp;#REF!)</f>
        <v>1</v>
      </c>
      <c r="N50" s="41">
        <f>MAX(Vertices[Eigenvector Centrality])</f>
        <v>0.038842</v>
      </c>
      <c r="O50" s="42">
        <f>COUNTIF(Vertices[Eigenvector Centrality],"&gt;= "&amp;N50)-COUNTIF(Vertices[Eigenvector Centrality],"&gt;="&amp;#REF!)</f>
        <v>1</v>
      </c>
      <c r="P50" s="41">
        <f>MAX(Vertices[PageRank])</f>
        <v>9.358254</v>
      </c>
      <c r="Q50" s="42">
        <f>COUNTIF(Vertices[PageRank],"&gt;= "&amp;P50)-COUNTIF(Vertices[PageRank],"&gt;="&amp;#REF!)</f>
        <v>1</v>
      </c>
      <c r="R50" s="41">
        <f>MAX(Vertices[Clustering Coefficient])</f>
        <v>0.5</v>
      </c>
      <c r="S50" s="45">
        <f>COUNTIF(Vertices[Clustering Coefficient],"&gt;= "&amp;R50)-COUNTIF(Vertices[Clustering Coefficient],"&gt;="&amp;#REF!)</f>
        <v>6</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11</v>
      </c>
    </row>
    <row r="82" spans="1:2" ht="15">
      <c r="A82" s="33" t="s">
        <v>90</v>
      </c>
      <c r="B82" s="47">
        <f>_xlfn.IFERROR(AVERAGE(Vertices[In-Degree]),NoMetricMessage)</f>
        <v>1.4285714285714286</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20</v>
      </c>
    </row>
    <row r="96" spans="1:2" ht="15">
      <c r="A96" s="33" t="s">
        <v>96</v>
      </c>
      <c r="B96" s="47">
        <f>_xlfn.IFERROR(AVERAGE(Vertices[Out-Degree]),NoMetricMessage)</f>
        <v>1.4285714285714286</v>
      </c>
    </row>
    <row r="97" spans="1:2" ht="15">
      <c r="A97" s="33" t="s">
        <v>97</v>
      </c>
      <c r="B97" s="47">
        <f>_xlfn.IFERROR(MEDIAN(Vertices[Out-Degree]),NoMetricMessage)</f>
        <v>0</v>
      </c>
    </row>
    <row r="108" spans="1:2" ht="15">
      <c r="A108" s="33" t="s">
        <v>100</v>
      </c>
      <c r="B108" s="47">
        <f>IF(COUNT(Vertices[Betweenness Centrality])&gt;0,J2,NoMetricMessage)</f>
        <v>0</v>
      </c>
    </row>
    <row r="109" spans="1:2" ht="15">
      <c r="A109" s="33" t="s">
        <v>101</v>
      </c>
      <c r="B109" s="47">
        <f>IF(COUNT(Vertices[Betweenness Centrality])&gt;0,J50,NoMetricMessage)</f>
        <v>21892.094242</v>
      </c>
    </row>
    <row r="110" spans="1:2" ht="15">
      <c r="A110" s="33" t="s">
        <v>102</v>
      </c>
      <c r="B110" s="47">
        <f>_xlfn.IFERROR(AVERAGE(Vertices[Betweenness Centrality]),NoMetricMessage)</f>
        <v>1007.6214285785715</v>
      </c>
    </row>
    <row r="111" spans="1:2" ht="15">
      <c r="A111" s="33" t="s">
        <v>103</v>
      </c>
      <c r="B111" s="47">
        <f>_xlfn.IFERROR(MEDIAN(Vertices[Betweenness Centrality]),NoMetricMessage)</f>
        <v>0</v>
      </c>
    </row>
    <row r="122" spans="1:2" ht="15">
      <c r="A122" s="33" t="s">
        <v>106</v>
      </c>
      <c r="B122" s="47">
        <f>IF(COUNT(Vertices[Closeness Centrality])&gt;0,L2,NoMetricMessage)</f>
        <v>0.000588</v>
      </c>
    </row>
    <row r="123" spans="1:2" ht="15">
      <c r="A123" s="33" t="s">
        <v>107</v>
      </c>
      <c r="B123" s="47">
        <f>IF(COUNT(Vertices[Closeness Centrality])&gt;0,L50,NoMetricMessage)</f>
        <v>0.001248</v>
      </c>
    </row>
    <row r="124" spans="1:2" ht="15">
      <c r="A124" s="33" t="s">
        <v>108</v>
      </c>
      <c r="B124" s="47">
        <f>_xlfn.IFERROR(AVERAGE(Vertices[Closeness Centrality]),NoMetricMessage)</f>
        <v>0.0008031964285714275</v>
      </c>
    </row>
    <row r="125" spans="1:2" ht="15">
      <c r="A125" s="33" t="s">
        <v>109</v>
      </c>
      <c r="B125" s="47">
        <f>_xlfn.IFERROR(MEDIAN(Vertices[Closeness Centrality]),NoMetricMessage)</f>
        <v>0.000809</v>
      </c>
    </row>
    <row r="136" spans="1:2" ht="15">
      <c r="A136" s="33" t="s">
        <v>112</v>
      </c>
      <c r="B136" s="47">
        <f>IF(COUNT(Vertices[Eigenvector Centrality])&gt;0,N2,NoMetricMessage)</f>
        <v>1.1E-05</v>
      </c>
    </row>
    <row r="137" spans="1:2" ht="15">
      <c r="A137" s="33" t="s">
        <v>113</v>
      </c>
      <c r="B137" s="47">
        <f>IF(COUNT(Vertices[Eigenvector Centrality])&gt;0,N50,NoMetricMessage)</f>
        <v>0.038842</v>
      </c>
    </row>
    <row r="138" spans="1:2" ht="15">
      <c r="A138" s="33" t="s">
        <v>114</v>
      </c>
      <c r="B138" s="47">
        <f>_xlfn.IFERROR(AVERAGE(Vertices[Eigenvector Centrality]),NoMetricMessage)</f>
        <v>0.0035713392857142866</v>
      </c>
    </row>
    <row r="139" spans="1:2" ht="15">
      <c r="A139" s="33" t="s">
        <v>115</v>
      </c>
      <c r="B139" s="47">
        <f>_xlfn.IFERROR(MEDIAN(Vertices[Eigenvector Centrality]),NoMetricMessage)</f>
        <v>0.0015309999999999998</v>
      </c>
    </row>
    <row r="150" spans="1:2" ht="15">
      <c r="A150" s="33" t="s">
        <v>140</v>
      </c>
      <c r="B150" s="47">
        <f>IF(COUNT(Vertices[PageRank])&gt;0,P2,NoMetricMessage)</f>
        <v>0.351912</v>
      </c>
    </row>
    <row r="151" spans="1:2" ht="15">
      <c r="A151" s="33" t="s">
        <v>141</v>
      </c>
      <c r="B151" s="47">
        <f>IF(COUNT(Vertices[PageRank])&gt;0,P50,NoMetricMessage)</f>
        <v>9.358254</v>
      </c>
    </row>
    <row r="152" spans="1:2" ht="15">
      <c r="A152" s="33" t="s">
        <v>142</v>
      </c>
      <c r="B152" s="47">
        <f>_xlfn.IFERROR(AVERAGE(Vertices[PageRank]),NoMetricMessage)</f>
        <v>0.9999980392857134</v>
      </c>
    </row>
    <row r="153" spans="1:2" ht="15">
      <c r="A153" s="33" t="s">
        <v>143</v>
      </c>
      <c r="B153" s="47">
        <f>_xlfn.IFERROR(MEDIAN(Vertices[PageRank]),NoMetricMessage)</f>
        <v>0.50515</v>
      </c>
    </row>
    <row r="164" spans="1:2" ht="15">
      <c r="A164" s="33" t="s">
        <v>118</v>
      </c>
      <c r="B164" s="47">
        <f>IF(COUNT(Vertices[Clustering Coefficient])&gt;0,R2,NoMetricMessage)</f>
        <v>0</v>
      </c>
    </row>
    <row r="165" spans="1:2" ht="15">
      <c r="A165" s="33" t="s">
        <v>119</v>
      </c>
      <c r="B165" s="47">
        <f>IF(COUNT(Vertices[Clustering Coefficient])&gt;0,R50,NoMetricMessage)</f>
        <v>0.5</v>
      </c>
    </row>
    <row r="166" spans="1:2" ht="15">
      <c r="A166" s="33" t="s">
        <v>120</v>
      </c>
      <c r="B166" s="47">
        <f>_xlfn.IFERROR(AVERAGE(Vertices[Clustering Coefficient]),NoMetricMessage)</f>
        <v>0.024017308764570946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193</v>
      </c>
    </row>
    <row r="6" spans="1:18" ht="409.5">
      <c r="A6">
        <v>0</v>
      </c>
      <c r="B6" s="1" t="s">
        <v>136</v>
      </c>
      <c r="C6">
        <v>1</v>
      </c>
      <c r="D6" t="s">
        <v>59</v>
      </c>
      <c r="E6" t="s">
        <v>59</v>
      </c>
      <c r="F6">
        <v>0</v>
      </c>
      <c r="H6" t="s">
        <v>71</v>
      </c>
      <c r="J6" t="s">
        <v>173</v>
      </c>
      <c r="K6" s="13" t="s">
        <v>194</v>
      </c>
      <c r="R6" t="s">
        <v>129</v>
      </c>
    </row>
    <row r="7" spans="1:11" ht="409.5">
      <c r="A7">
        <v>2</v>
      </c>
      <c r="B7">
        <v>1</v>
      </c>
      <c r="C7">
        <v>0</v>
      </c>
      <c r="D7" t="s">
        <v>60</v>
      </c>
      <c r="E7" t="s">
        <v>60</v>
      </c>
      <c r="F7">
        <v>2</v>
      </c>
      <c r="H7" t="s">
        <v>72</v>
      </c>
      <c r="J7" t="s">
        <v>174</v>
      </c>
      <c r="K7" s="13" t="s">
        <v>195</v>
      </c>
    </row>
    <row r="8" spans="1:11" ht="409.5">
      <c r="A8"/>
      <c r="B8">
        <v>2</v>
      </c>
      <c r="C8">
        <v>2</v>
      </c>
      <c r="D8" t="s">
        <v>61</v>
      </c>
      <c r="E8" t="s">
        <v>61</v>
      </c>
      <c r="H8" t="s">
        <v>73</v>
      </c>
      <c r="J8" t="s">
        <v>175</v>
      </c>
      <c r="K8" s="13" t="s">
        <v>196</v>
      </c>
    </row>
    <row r="9" spans="1:11" ht="409.5">
      <c r="A9"/>
      <c r="B9">
        <v>3</v>
      </c>
      <c r="C9">
        <v>4</v>
      </c>
      <c r="D9" t="s">
        <v>62</v>
      </c>
      <c r="E9" t="s">
        <v>62</v>
      </c>
      <c r="H9" t="s">
        <v>74</v>
      </c>
      <c r="J9" t="s">
        <v>176</v>
      </c>
      <c r="K9" s="13" t="s">
        <v>197</v>
      </c>
    </row>
    <row r="10" spans="1:11" ht="15">
      <c r="A10"/>
      <c r="B10">
        <v>4</v>
      </c>
      <c r="D10" t="s">
        <v>63</v>
      </c>
      <c r="E10" t="s">
        <v>63</v>
      </c>
      <c r="H10" t="s">
        <v>75</v>
      </c>
      <c r="J10" t="s">
        <v>177</v>
      </c>
      <c r="K10" t="s">
        <v>198</v>
      </c>
    </row>
    <row r="11" spans="1:11" ht="15">
      <c r="A11"/>
      <c r="B11">
        <v>5</v>
      </c>
      <c r="D11" t="s">
        <v>46</v>
      </c>
      <c r="E11">
        <v>1</v>
      </c>
      <c r="H11" t="s">
        <v>76</v>
      </c>
      <c r="J11" t="s">
        <v>178</v>
      </c>
      <c r="K11" t="s">
        <v>199</v>
      </c>
    </row>
    <row r="12" spans="1:11" ht="15">
      <c r="A12"/>
      <c r="B12"/>
      <c r="D12" t="s">
        <v>64</v>
      </c>
      <c r="E12">
        <v>2</v>
      </c>
      <c r="H12">
        <v>0</v>
      </c>
      <c r="J12" t="s">
        <v>179</v>
      </c>
      <c r="K12" t="s">
        <v>200</v>
      </c>
    </row>
    <row r="13" spans="1:11" ht="15">
      <c r="A13"/>
      <c r="B13"/>
      <c r="D13">
        <v>1</v>
      </c>
      <c r="E13">
        <v>3</v>
      </c>
      <c r="H13">
        <v>1</v>
      </c>
      <c r="J13" t="s">
        <v>180</v>
      </c>
      <c r="K13" t="s">
        <v>201</v>
      </c>
    </row>
    <row r="14" spans="4:11" ht="15">
      <c r="D14">
        <v>2</v>
      </c>
      <c r="E14">
        <v>4</v>
      </c>
      <c r="H14">
        <v>2</v>
      </c>
      <c r="J14" t="s">
        <v>181</v>
      </c>
      <c r="K14" t="s">
        <v>202</v>
      </c>
    </row>
    <row r="15" spans="4:11" ht="15">
      <c r="D15">
        <v>3</v>
      </c>
      <c r="E15">
        <v>5</v>
      </c>
      <c r="H15">
        <v>3</v>
      </c>
      <c r="J15" t="s">
        <v>182</v>
      </c>
      <c r="K15" t="s">
        <v>203</v>
      </c>
    </row>
    <row r="16" spans="4:11" ht="15">
      <c r="D16">
        <v>4</v>
      </c>
      <c r="E16">
        <v>6</v>
      </c>
      <c r="H16">
        <v>4</v>
      </c>
      <c r="J16" t="s">
        <v>183</v>
      </c>
      <c r="K16" t="s">
        <v>204</v>
      </c>
    </row>
    <row r="17" spans="4:11" ht="15">
      <c r="D17">
        <v>5</v>
      </c>
      <c r="E17">
        <v>7</v>
      </c>
      <c r="H17">
        <v>5</v>
      </c>
      <c r="J17" t="s">
        <v>184</v>
      </c>
      <c r="K17" t="s">
        <v>205</v>
      </c>
    </row>
    <row r="18" spans="4:11" ht="15">
      <c r="D18">
        <v>6</v>
      </c>
      <c r="E18">
        <v>8</v>
      </c>
      <c r="H18">
        <v>6</v>
      </c>
      <c r="J18" t="s">
        <v>185</v>
      </c>
      <c r="K18" t="s">
        <v>206</v>
      </c>
    </row>
    <row r="19" spans="4:11" ht="15">
      <c r="D19">
        <v>7</v>
      </c>
      <c r="E19">
        <v>9</v>
      </c>
      <c r="H19">
        <v>7</v>
      </c>
      <c r="J19" t="s">
        <v>186</v>
      </c>
      <c r="K19" t="s">
        <v>207</v>
      </c>
    </row>
    <row r="20" spans="4:11" ht="15">
      <c r="D20">
        <v>8</v>
      </c>
      <c r="H20">
        <v>8</v>
      </c>
      <c r="J20" t="s">
        <v>187</v>
      </c>
      <c r="K20" t="s">
        <v>208</v>
      </c>
    </row>
    <row r="21" spans="4:11" ht="409.5">
      <c r="D21">
        <v>9</v>
      </c>
      <c r="H21">
        <v>9</v>
      </c>
      <c r="J21" t="s">
        <v>188</v>
      </c>
      <c r="K21" s="13" t="s">
        <v>209</v>
      </c>
    </row>
    <row r="22" spans="4:11" ht="409.5">
      <c r="D22">
        <v>10</v>
      </c>
      <c r="J22" t="s">
        <v>189</v>
      </c>
      <c r="K22" s="13" t="s">
        <v>210</v>
      </c>
    </row>
    <row r="23" spans="4:11" ht="409.5">
      <c r="D23">
        <v>11</v>
      </c>
      <c r="J23" t="s">
        <v>190</v>
      </c>
      <c r="K23" s="13" t="s">
        <v>2770</v>
      </c>
    </row>
    <row r="24" spans="10:11" ht="15">
      <c r="J24" t="s">
        <v>191</v>
      </c>
      <c r="K24">
        <v>19</v>
      </c>
    </row>
    <row r="25" spans="10:11" ht="15">
      <c r="J25" t="s">
        <v>211</v>
      </c>
      <c r="K25" t="s">
        <v>2762</v>
      </c>
    </row>
    <row r="26" spans="10:11" ht="409.5">
      <c r="J26" t="s">
        <v>212</v>
      </c>
      <c r="K26" s="13" t="s">
        <v>2763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C10DD-3127-4AB7-BCCB-D9A7832164B8}">
  <dimension ref="A1:G188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1730</v>
      </c>
      <c r="B1" s="13" t="s">
        <v>2554</v>
      </c>
      <c r="C1" s="13" t="s">
        <v>2558</v>
      </c>
      <c r="D1" s="13" t="s">
        <v>144</v>
      </c>
      <c r="E1" s="13" t="s">
        <v>2560</v>
      </c>
      <c r="F1" s="13" t="s">
        <v>2561</v>
      </c>
      <c r="G1" s="13" t="s">
        <v>2562</v>
      </c>
    </row>
    <row r="2" spans="1:7" ht="15">
      <c r="A2" s="88" t="s">
        <v>1731</v>
      </c>
      <c r="B2" s="88" t="s">
        <v>2555</v>
      </c>
      <c r="C2" s="115"/>
      <c r="D2" s="88"/>
      <c r="E2" s="88"/>
      <c r="F2" s="88"/>
      <c r="G2" s="88"/>
    </row>
    <row r="3" spans="1:7" ht="15">
      <c r="A3" s="88" t="s">
        <v>1732</v>
      </c>
      <c r="B3" s="88" t="s">
        <v>2556</v>
      </c>
      <c r="C3" s="115"/>
      <c r="D3" s="88"/>
      <c r="E3" s="88"/>
      <c r="F3" s="88"/>
      <c r="G3" s="88"/>
    </row>
    <row r="4" spans="1:7" ht="15">
      <c r="A4" s="88" t="s">
        <v>1733</v>
      </c>
      <c r="B4" s="88" t="s">
        <v>2557</v>
      </c>
      <c r="C4" s="115"/>
      <c r="D4" s="88"/>
      <c r="E4" s="88"/>
      <c r="F4" s="88"/>
      <c r="G4" s="88"/>
    </row>
    <row r="5" spans="1:7" ht="15">
      <c r="A5" s="88" t="s">
        <v>1734</v>
      </c>
      <c r="B5" s="88">
        <v>153</v>
      </c>
      <c r="C5" s="115">
        <v>0.01660696841419733</v>
      </c>
      <c r="D5" s="88"/>
      <c r="E5" s="88"/>
      <c r="F5" s="88"/>
      <c r="G5" s="88"/>
    </row>
    <row r="6" spans="1:7" ht="15">
      <c r="A6" s="88" t="s">
        <v>1735</v>
      </c>
      <c r="B6" s="88">
        <v>419</v>
      </c>
      <c r="C6" s="115">
        <v>0.045479214153912956</v>
      </c>
      <c r="D6" s="88"/>
      <c r="E6" s="88"/>
      <c r="F6" s="88"/>
      <c r="G6" s="88"/>
    </row>
    <row r="7" spans="1:7" ht="15">
      <c r="A7" s="88" t="s">
        <v>1736</v>
      </c>
      <c r="B7" s="88">
        <v>0</v>
      </c>
      <c r="C7" s="115">
        <v>0</v>
      </c>
      <c r="D7" s="88"/>
      <c r="E7" s="88"/>
      <c r="F7" s="88"/>
      <c r="G7" s="88"/>
    </row>
    <row r="8" spans="1:7" ht="15">
      <c r="A8" s="88" t="s">
        <v>1737</v>
      </c>
      <c r="B8" s="88">
        <v>8641</v>
      </c>
      <c r="C8" s="115">
        <v>0.9379138174318897</v>
      </c>
      <c r="D8" s="88"/>
      <c r="E8" s="88"/>
      <c r="F8" s="88"/>
      <c r="G8" s="88"/>
    </row>
    <row r="9" spans="1:7" ht="15">
      <c r="A9" s="88" t="s">
        <v>1738</v>
      </c>
      <c r="B9" s="88">
        <v>9213</v>
      </c>
      <c r="C9" s="115">
        <v>1</v>
      </c>
      <c r="D9" s="88"/>
      <c r="E9" s="88"/>
      <c r="F9" s="88"/>
      <c r="G9" s="88"/>
    </row>
    <row r="10" spans="1:7" ht="15">
      <c r="A10" s="114" t="s">
        <v>1739</v>
      </c>
      <c r="B10" s="114">
        <v>501</v>
      </c>
      <c r="C10" s="116">
        <v>0.02234508463237738</v>
      </c>
      <c r="D10" s="114" t="s">
        <v>2559</v>
      </c>
      <c r="E10" s="114" t="b">
        <v>0</v>
      </c>
      <c r="F10" s="114" t="b">
        <v>0</v>
      </c>
      <c r="G10" s="114" t="b">
        <v>0</v>
      </c>
    </row>
    <row r="11" spans="1:7" ht="15">
      <c r="A11" s="114" t="s">
        <v>1740</v>
      </c>
      <c r="B11" s="114">
        <v>381</v>
      </c>
      <c r="C11" s="116">
        <v>0.016464290938069233</v>
      </c>
      <c r="D11" s="114" t="s">
        <v>2559</v>
      </c>
      <c r="E11" s="114" t="b">
        <v>0</v>
      </c>
      <c r="F11" s="114" t="b">
        <v>0</v>
      </c>
      <c r="G11" s="114" t="b">
        <v>0</v>
      </c>
    </row>
    <row r="12" spans="1:7" ht="15">
      <c r="A12" s="114" t="s">
        <v>1741</v>
      </c>
      <c r="B12" s="114">
        <v>283</v>
      </c>
      <c r="C12" s="116">
        <v>0.013161624406657546</v>
      </c>
      <c r="D12" s="114" t="s">
        <v>2559</v>
      </c>
      <c r="E12" s="114" t="b">
        <v>0</v>
      </c>
      <c r="F12" s="114" t="b">
        <v>0</v>
      </c>
      <c r="G12" s="114" t="b">
        <v>0</v>
      </c>
    </row>
    <row r="13" spans="1:7" ht="15">
      <c r="A13" s="114" t="s">
        <v>1742</v>
      </c>
      <c r="B13" s="114">
        <v>243</v>
      </c>
      <c r="C13" s="116">
        <v>0.018666305977429964</v>
      </c>
      <c r="D13" s="114" t="s">
        <v>2559</v>
      </c>
      <c r="E13" s="114" t="b">
        <v>0</v>
      </c>
      <c r="F13" s="114" t="b">
        <v>0</v>
      </c>
      <c r="G13" s="114" t="b">
        <v>0</v>
      </c>
    </row>
    <row r="14" spans="1:7" ht="15">
      <c r="A14" s="114" t="s">
        <v>1743</v>
      </c>
      <c r="B14" s="114">
        <v>232</v>
      </c>
      <c r="C14" s="116">
        <v>0.011248001452748124</v>
      </c>
      <c r="D14" s="114" t="s">
        <v>2559</v>
      </c>
      <c r="E14" s="114" t="b">
        <v>0</v>
      </c>
      <c r="F14" s="114" t="b">
        <v>0</v>
      </c>
      <c r="G14" s="114" t="b">
        <v>0</v>
      </c>
    </row>
    <row r="15" spans="1:7" ht="15">
      <c r="A15" s="114" t="s">
        <v>1744</v>
      </c>
      <c r="B15" s="114">
        <v>108</v>
      </c>
      <c r="C15" s="116">
        <v>0.010472775443488722</v>
      </c>
      <c r="D15" s="114" t="s">
        <v>2559</v>
      </c>
      <c r="E15" s="114" t="b">
        <v>0</v>
      </c>
      <c r="F15" s="114" t="b">
        <v>0</v>
      </c>
      <c r="G15" s="114" t="b">
        <v>0</v>
      </c>
    </row>
    <row r="16" spans="1:7" ht="15">
      <c r="A16" s="114" t="s">
        <v>1745</v>
      </c>
      <c r="B16" s="114">
        <v>92</v>
      </c>
      <c r="C16" s="116">
        <v>0.011136666515058116</v>
      </c>
      <c r="D16" s="114" t="s">
        <v>2559</v>
      </c>
      <c r="E16" s="114" t="b">
        <v>0</v>
      </c>
      <c r="F16" s="114" t="b">
        <v>0</v>
      </c>
      <c r="G16" s="114" t="b">
        <v>0</v>
      </c>
    </row>
    <row r="17" spans="1:7" ht="15">
      <c r="A17" s="114" t="s">
        <v>1746</v>
      </c>
      <c r="B17" s="114">
        <v>86</v>
      </c>
      <c r="C17" s="116">
        <v>0.007393582333960184</v>
      </c>
      <c r="D17" s="114" t="s">
        <v>2559</v>
      </c>
      <c r="E17" s="114" t="b">
        <v>0</v>
      </c>
      <c r="F17" s="114" t="b">
        <v>1</v>
      </c>
      <c r="G17" s="114" t="b">
        <v>0</v>
      </c>
    </row>
    <row r="18" spans="1:7" ht="15">
      <c r="A18" s="114" t="s">
        <v>1747</v>
      </c>
      <c r="B18" s="114">
        <v>82</v>
      </c>
      <c r="C18" s="116">
        <v>0.006889170095681708</v>
      </c>
      <c r="D18" s="114" t="s">
        <v>2559</v>
      </c>
      <c r="E18" s="114" t="b">
        <v>0</v>
      </c>
      <c r="F18" s="114" t="b">
        <v>0</v>
      </c>
      <c r="G18" s="114" t="b">
        <v>0</v>
      </c>
    </row>
    <row r="19" spans="1:7" ht="15">
      <c r="A19" s="114" t="s">
        <v>1748</v>
      </c>
      <c r="B19" s="114">
        <v>81</v>
      </c>
      <c r="C19" s="116">
        <v>0.0071281641391711765</v>
      </c>
      <c r="D19" s="114" t="s">
        <v>2559</v>
      </c>
      <c r="E19" s="114" t="b">
        <v>0</v>
      </c>
      <c r="F19" s="114" t="b">
        <v>0</v>
      </c>
      <c r="G19" s="114" t="b">
        <v>0</v>
      </c>
    </row>
    <row r="20" spans="1:7" ht="15">
      <c r="A20" s="114" t="s">
        <v>1749</v>
      </c>
      <c r="B20" s="114">
        <v>58</v>
      </c>
      <c r="C20" s="116">
        <v>0.009335891177323625</v>
      </c>
      <c r="D20" s="114" t="s">
        <v>2559</v>
      </c>
      <c r="E20" s="114" t="b">
        <v>0</v>
      </c>
      <c r="F20" s="114" t="b">
        <v>0</v>
      </c>
      <c r="G20" s="114" t="b">
        <v>0</v>
      </c>
    </row>
    <row r="21" spans="1:7" ht="15">
      <c r="A21" s="114" t="s">
        <v>1750</v>
      </c>
      <c r="B21" s="114">
        <v>50</v>
      </c>
      <c r="C21" s="116">
        <v>0.0061486994922237</v>
      </c>
      <c r="D21" s="114" t="s">
        <v>2559</v>
      </c>
      <c r="E21" s="114" t="b">
        <v>0</v>
      </c>
      <c r="F21" s="114" t="b">
        <v>0</v>
      </c>
      <c r="G21" s="114" t="b">
        <v>0</v>
      </c>
    </row>
    <row r="22" spans="1:7" ht="15">
      <c r="A22" s="114" t="s">
        <v>1751</v>
      </c>
      <c r="B22" s="114">
        <v>48</v>
      </c>
      <c r="C22" s="116">
        <v>0.005810434703508581</v>
      </c>
      <c r="D22" s="114" t="s">
        <v>2559</v>
      </c>
      <c r="E22" s="114" t="b">
        <v>0</v>
      </c>
      <c r="F22" s="114" t="b">
        <v>1</v>
      </c>
      <c r="G22" s="114" t="b">
        <v>0</v>
      </c>
    </row>
    <row r="23" spans="1:7" ht="15">
      <c r="A23" s="114" t="s">
        <v>1752</v>
      </c>
      <c r="B23" s="114">
        <v>47</v>
      </c>
      <c r="C23" s="116">
        <v>0.006778642771087721</v>
      </c>
      <c r="D23" s="114" t="s">
        <v>2559</v>
      </c>
      <c r="E23" s="114" t="b">
        <v>0</v>
      </c>
      <c r="F23" s="114" t="b">
        <v>0</v>
      </c>
      <c r="G23" s="114" t="b">
        <v>0</v>
      </c>
    </row>
    <row r="24" spans="1:7" ht="15">
      <c r="A24" s="114" t="s">
        <v>1753</v>
      </c>
      <c r="B24" s="114">
        <v>44</v>
      </c>
      <c r="C24" s="116">
        <v>0.006476348126921643</v>
      </c>
      <c r="D24" s="114" t="s">
        <v>2559</v>
      </c>
      <c r="E24" s="114" t="b">
        <v>0</v>
      </c>
      <c r="F24" s="114" t="b">
        <v>0</v>
      </c>
      <c r="G24" s="114" t="b">
        <v>0</v>
      </c>
    </row>
    <row r="25" spans="1:7" ht="15">
      <c r="A25" s="114" t="s">
        <v>1754</v>
      </c>
      <c r="B25" s="114">
        <v>40</v>
      </c>
      <c r="C25" s="116">
        <v>0.006287292618950782</v>
      </c>
      <c r="D25" s="114" t="s">
        <v>2559</v>
      </c>
      <c r="E25" s="114" t="b">
        <v>0</v>
      </c>
      <c r="F25" s="114" t="b">
        <v>0</v>
      </c>
      <c r="G25" s="114" t="b">
        <v>0</v>
      </c>
    </row>
    <row r="26" spans="1:7" ht="15">
      <c r="A26" s="114" t="s">
        <v>1755</v>
      </c>
      <c r="B26" s="114">
        <v>39</v>
      </c>
      <c r="C26" s="116">
        <v>0.004200237999660602</v>
      </c>
      <c r="D26" s="114" t="s">
        <v>2559</v>
      </c>
      <c r="E26" s="114" t="b">
        <v>0</v>
      </c>
      <c r="F26" s="114" t="b">
        <v>0</v>
      </c>
      <c r="G26" s="114" t="b">
        <v>0</v>
      </c>
    </row>
    <row r="27" spans="1:7" ht="15">
      <c r="A27" s="114" t="s">
        <v>1756</v>
      </c>
      <c r="B27" s="114">
        <v>39</v>
      </c>
      <c r="C27" s="116">
        <v>0.006435987179196969</v>
      </c>
      <c r="D27" s="114" t="s">
        <v>2559</v>
      </c>
      <c r="E27" s="114" t="b">
        <v>0</v>
      </c>
      <c r="F27" s="114" t="b">
        <v>0</v>
      </c>
      <c r="G27" s="114" t="b">
        <v>0</v>
      </c>
    </row>
    <row r="28" spans="1:7" ht="15">
      <c r="A28" s="114" t="s">
        <v>1757</v>
      </c>
      <c r="B28" s="114">
        <v>38</v>
      </c>
      <c r="C28" s="116">
        <v>0.0070368164894446285</v>
      </c>
      <c r="D28" s="114" t="s">
        <v>2559</v>
      </c>
      <c r="E28" s="114" t="b">
        <v>0</v>
      </c>
      <c r="F28" s="114" t="b">
        <v>0</v>
      </c>
      <c r="G28" s="114" t="b">
        <v>0</v>
      </c>
    </row>
    <row r="29" spans="1:7" ht="15">
      <c r="A29" s="114" t="s">
        <v>1758</v>
      </c>
      <c r="B29" s="114">
        <v>32</v>
      </c>
      <c r="C29" s="116">
        <v>0.0042055232111387186</v>
      </c>
      <c r="D29" s="114" t="s">
        <v>2559</v>
      </c>
      <c r="E29" s="114" t="b">
        <v>0</v>
      </c>
      <c r="F29" s="114" t="b">
        <v>0</v>
      </c>
      <c r="G29" s="114" t="b">
        <v>0</v>
      </c>
    </row>
    <row r="30" spans="1:7" ht="15">
      <c r="A30" s="114" t="s">
        <v>1759</v>
      </c>
      <c r="B30" s="114">
        <v>32</v>
      </c>
      <c r="C30" s="116">
        <v>0.005280809993187256</v>
      </c>
      <c r="D30" s="114" t="s">
        <v>2559</v>
      </c>
      <c r="E30" s="114" t="b">
        <v>0</v>
      </c>
      <c r="F30" s="114" t="b">
        <v>0</v>
      </c>
      <c r="G30" s="114" t="b">
        <v>0</v>
      </c>
    </row>
    <row r="31" spans="1:7" ht="15">
      <c r="A31" s="114" t="s">
        <v>1760</v>
      </c>
      <c r="B31" s="114">
        <v>32</v>
      </c>
      <c r="C31" s="116">
        <v>0.00695662361447274</v>
      </c>
      <c r="D31" s="114" t="s">
        <v>2559</v>
      </c>
      <c r="E31" s="114" t="b">
        <v>0</v>
      </c>
      <c r="F31" s="114" t="b">
        <v>0</v>
      </c>
      <c r="G31" s="114" t="b">
        <v>0</v>
      </c>
    </row>
    <row r="32" spans="1:7" ht="15">
      <c r="A32" s="114" t="s">
        <v>1761</v>
      </c>
      <c r="B32" s="114">
        <v>30</v>
      </c>
      <c r="C32" s="116">
        <v>0.0040126555685975705</v>
      </c>
      <c r="D32" s="114" t="s">
        <v>2559</v>
      </c>
      <c r="E32" s="114" t="b">
        <v>0</v>
      </c>
      <c r="F32" s="114" t="b">
        <v>0</v>
      </c>
      <c r="G32" s="114" t="b">
        <v>0</v>
      </c>
    </row>
    <row r="33" spans="1:7" ht="15">
      <c r="A33" s="114" t="s">
        <v>1762</v>
      </c>
      <c r="B33" s="114">
        <v>30</v>
      </c>
      <c r="C33" s="116">
        <v>0.005749043184797656</v>
      </c>
      <c r="D33" s="114" t="s">
        <v>2559</v>
      </c>
      <c r="E33" s="114" t="b">
        <v>0</v>
      </c>
      <c r="F33" s="114" t="b">
        <v>0</v>
      </c>
      <c r="G33" s="114" t="b">
        <v>0</v>
      </c>
    </row>
    <row r="34" spans="1:7" ht="15">
      <c r="A34" s="114" t="s">
        <v>1763</v>
      </c>
      <c r="B34" s="114">
        <v>29</v>
      </c>
      <c r="C34" s="116">
        <v>0.0047857340563259515</v>
      </c>
      <c r="D34" s="114" t="s">
        <v>2559</v>
      </c>
      <c r="E34" s="114" t="b">
        <v>0</v>
      </c>
      <c r="F34" s="114" t="b">
        <v>0</v>
      </c>
      <c r="G34" s="114" t="b">
        <v>0</v>
      </c>
    </row>
    <row r="35" spans="1:7" ht="15">
      <c r="A35" s="114" t="s">
        <v>1764</v>
      </c>
      <c r="B35" s="114">
        <v>27</v>
      </c>
      <c r="C35" s="116">
        <v>0.00470289039957261</v>
      </c>
      <c r="D35" s="114" t="s">
        <v>2559</v>
      </c>
      <c r="E35" s="114" t="b">
        <v>0</v>
      </c>
      <c r="F35" s="114" t="b">
        <v>0</v>
      </c>
      <c r="G35" s="114" t="b">
        <v>0</v>
      </c>
    </row>
    <row r="36" spans="1:7" ht="15">
      <c r="A36" s="114" t="s">
        <v>1765</v>
      </c>
      <c r="B36" s="114">
        <v>26</v>
      </c>
      <c r="C36" s="116">
        <v>0.004086740202318008</v>
      </c>
      <c r="D36" s="114" t="s">
        <v>2559</v>
      </c>
      <c r="E36" s="114" t="b">
        <v>0</v>
      </c>
      <c r="F36" s="114" t="b">
        <v>0</v>
      </c>
      <c r="G36" s="114" t="b">
        <v>0</v>
      </c>
    </row>
    <row r="37" spans="1:7" ht="15">
      <c r="A37" s="114" t="s">
        <v>1766</v>
      </c>
      <c r="B37" s="114">
        <v>26</v>
      </c>
      <c r="C37" s="116">
        <v>0.003358816490805481</v>
      </c>
      <c r="D37" s="114" t="s">
        <v>2559</v>
      </c>
      <c r="E37" s="114" t="b">
        <v>0</v>
      </c>
      <c r="F37" s="114" t="b">
        <v>1</v>
      </c>
      <c r="G37" s="114" t="b">
        <v>0</v>
      </c>
    </row>
    <row r="38" spans="1:7" ht="15">
      <c r="A38" s="114" t="s">
        <v>1767</v>
      </c>
      <c r="B38" s="114">
        <v>26</v>
      </c>
      <c r="C38" s="116">
        <v>0.004528709273662513</v>
      </c>
      <c r="D38" s="114" t="s">
        <v>2559</v>
      </c>
      <c r="E38" s="114" t="b">
        <v>0</v>
      </c>
      <c r="F38" s="114" t="b">
        <v>0</v>
      </c>
      <c r="G38" s="114" t="b">
        <v>0</v>
      </c>
    </row>
    <row r="39" spans="1:7" ht="15">
      <c r="A39" s="114" t="s">
        <v>1768</v>
      </c>
      <c r="B39" s="114">
        <v>26</v>
      </c>
      <c r="C39" s="116">
        <v>0.004290658119464646</v>
      </c>
      <c r="D39" s="114" t="s">
        <v>2559</v>
      </c>
      <c r="E39" s="114" t="b">
        <v>0</v>
      </c>
      <c r="F39" s="114" t="b">
        <v>0</v>
      </c>
      <c r="G39" s="114" t="b">
        <v>0</v>
      </c>
    </row>
    <row r="40" spans="1:7" ht="15">
      <c r="A40" s="114" t="s">
        <v>1769</v>
      </c>
      <c r="B40" s="114">
        <v>26</v>
      </c>
      <c r="C40" s="116">
        <v>0.004290658119464646</v>
      </c>
      <c r="D40" s="114" t="s">
        <v>2559</v>
      </c>
      <c r="E40" s="114" t="b">
        <v>0</v>
      </c>
      <c r="F40" s="114" t="b">
        <v>0</v>
      </c>
      <c r="G40" s="114" t="b">
        <v>0</v>
      </c>
    </row>
    <row r="41" spans="1:7" ht="15">
      <c r="A41" s="114" t="s">
        <v>1770</v>
      </c>
      <c r="B41" s="114">
        <v>25</v>
      </c>
      <c r="C41" s="116">
        <v>0.004354528147752417</v>
      </c>
      <c r="D41" s="114" t="s">
        <v>2559</v>
      </c>
      <c r="E41" s="114" t="b">
        <v>0</v>
      </c>
      <c r="F41" s="114" t="b">
        <v>0</v>
      </c>
      <c r="G41" s="114" t="b">
        <v>0</v>
      </c>
    </row>
    <row r="42" spans="1:7" ht="15">
      <c r="A42" s="114" t="s">
        <v>1771</v>
      </c>
      <c r="B42" s="114">
        <v>24</v>
      </c>
      <c r="C42" s="116">
        <v>0.0038631273837201204</v>
      </c>
      <c r="D42" s="114" t="s">
        <v>2559</v>
      </c>
      <c r="E42" s="114" t="b">
        <v>0</v>
      </c>
      <c r="F42" s="114" t="b">
        <v>1</v>
      </c>
      <c r="G42" s="114" t="b">
        <v>0</v>
      </c>
    </row>
    <row r="43" spans="1:7" ht="15">
      <c r="A43" s="114" t="s">
        <v>1772</v>
      </c>
      <c r="B43" s="114">
        <v>24</v>
      </c>
      <c r="C43" s="116">
        <v>0.0039606074948904425</v>
      </c>
      <c r="D43" s="114" t="s">
        <v>2559</v>
      </c>
      <c r="E43" s="114" t="b">
        <v>0</v>
      </c>
      <c r="F43" s="114" t="b">
        <v>0</v>
      </c>
      <c r="G43" s="114" t="b">
        <v>0</v>
      </c>
    </row>
    <row r="44" spans="1:7" ht="15">
      <c r="A44" s="114" t="s">
        <v>1773</v>
      </c>
      <c r="B44" s="114">
        <v>23</v>
      </c>
      <c r="C44" s="116">
        <v>0.003533837798702656</v>
      </c>
      <c r="D44" s="114" t="s">
        <v>2559</v>
      </c>
      <c r="E44" s="114" t="b">
        <v>0</v>
      </c>
      <c r="F44" s="114" t="b">
        <v>0</v>
      </c>
      <c r="G44" s="114" t="b">
        <v>0</v>
      </c>
    </row>
    <row r="45" spans="1:7" ht="15">
      <c r="A45" s="114" t="s">
        <v>1774</v>
      </c>
      <c r="B45" s="114">
        <v>23</v>
      </c>
      <c r="C45" s="116">
        <v>0.0037021637427317824</v>
      </c>
      <c r="D45" s="114" t="s">
        <v>2559</v>
      </c>
      <c r="E45" s="114" t="b">
        <v>0</v>
      </c>
      <c r="F45" s="114" t="b">
        <v>1</v>
      </c>
      <c r="G45" s="114" t="b">
        <v>0</v>
      </c>
    </row>
    <row r="46" spans="1:7" ht="15">
      <c r="A46" s="114" t="s">
        <v>1775</v>
      </c>
      <c r="B46" s="114">
        <v>23</v>
      </c>
      <c r="C46" s="116">
        <v>0.00345741609367817</v>
      </c>
      <c r="D46" s="114" t="s">
        <v>2559</v>
      </c>
      <c r="E46" s="114" t="b">
        <v>0</v>
      </c>
      <c r="F46" s="114" t="b">
        <v>0</v>
      </c>
      <c r="G46" s="114" t="b">
        <v>0</v>
      </c>
    </row>
    <row r="47" spans="1:7" ht="15">
      <c r="A47" s="114" t="s">
        <v>1776</v>
      </c>
      <c r="B47" s="114">
        <v>23</v>
      </c>
      <c r="C47" s="116">
        <v>0.003795582182603341</v>
      </c>
      <c r="D47" s="114" t="s">
        <v>2559</v>
      </c>
      <c r="E47" s="114" t="b">
        <v>0</v>
      </c>
      <c r="F47" s="114" t="b">
        <v>0</v>
      </c>
      <c r="G47" s="114" t="b">
        <v>0</v>
      </c>
    </row>
    <row r="48" spans="1:7" ht="15">
      <c r="A48" s="114" t="s">
        <v>1777</v>
      </c>
      <c r="B48" s="114">
        <v>22</v>
      </c>
      <c r="C48" s="116">
        <v>0.00345801094042293</v>
      </c>
      <c r="D48" s="114" t="s">
        <v>2559</v>
      </c>
      <c r="E48" s="114" t="b">
        <v>0</v>
      </c>
      <c r="F48" s="114" t="b">
        <v>0</v>
      </c>
      <c r="G48" s="114" t="b">
        <v>0</v>
      </c>
    </row>
    <row r="49" spans="1:7" ht="15">
      <c r="A49" s="114" t="s">
        <v>1778</v>
      </c>
      <c r="B49" s="114">
        <v>22</v>
      </c>
      <c r="C49" s="116">
        <v>0.003946906409784992</v>
      </c>
      <c r="D49" s="114" t="s">
        <v>2559</v>
      </c>
      <c r="E49" s="114" t="b">
        <v>0</v>
      </c>
      <c r="F49" s="114" t="b">
        <v>0</v>
      </c>
      <c r="G49" s="114" t="b">
        <v>0</v>
      </c>
    </row>
    <row r="50" spans="1:7" ht="15">
      <c r="A50" s="114" t="s">
        <v>1779</v>
      </c>
      <c r="B50" s="114">
        <v>22</v>
      </c>
      <c r="C50" s="116">
        <v>0.004215965002184948</v>
      </c>
      <c r="D50" s="114" t="s">
        <v>2559</v>
      </c>
      <c r="E50" s="114" t="b">
        <v>0</v>
      </c>
      <c r="F50" s="114" t="b">
        <v>0</v>
      </c>
      <c r="G50" s="114" t="b">
        <v>0</v>
      </c>
    </row>
    <row r="51" spans="1:7" ht="15">
      <c r="A51" s="114" t="s">
        <v>1780</v>
      </c>
      <c r="B51" s="114">
        <v>22</v>
      </c>
      <c r="C51" s="116">
        <v>0.0033801926770199316</v>
      </c>
      <c r="D51" s="114" t="s">
        <v>2559</v>
      </c>
      <c r="E51" s="114" t="b">
        <v>0</v>
      </c>
      <c r="F51" s="114" t="b">
        <v>0</v>
      </c>
      <c r="G51" s="114" t="b">
        <v>0</v>
      </c>
    </row>
    <row r="52" spans="1:7" ht="15">
      <c r="A52" s="114" t="s">
        <v>1781</v>
      </c>
      <c r="B52" s="114">
        <v>22</v>
      </c>
      <c r="C52" s="116">
        <v>0.0033801926770199316</v>
      </c>
      <c r="D52" s="114" t="s">
        <v>2559</v>
      </c>
      <c r="E52" s="114" t="b">
        <v>0</v>
      </c>
      <c r="F52" s="114" t="b">
        <v>0</v>
      </c>
      <c r="G52" s="114" t="b">
        <v>0</v>
      </c>
    </row>
    <row r="53" spans="1:7" ht="15">
      <c r="A53" s="114" t="s">
        <v>1782</v>
      </c>
      <c r="B53" s="114">
        <v>21</v>
      </c>
      <c r="C53" s="116">
        <v>0.003300828624949161</v>
      </c>
      <c r="D53" s="114" t="s">
        <v>2559</v>
      </c>
      <c r="E53" s="114" t="b">
        <v>0</v>
      </c>
      <c r="F53" s="114" t="b">
        <v>0</v>
      </c>
      <c r="G53" s="114" t="b">
        <v>0</v>
      </c>
    </row>
    <row r="54" spans="1:7" ht="15">
      <c r="A54" s="114" t="s">
        <v>1783</v>
      </c>
      <c r="B54" s="114">
        <v>21</v>
      </c>
      <c r="C54" s="116">
        <v>0.004178019134776257</v>
      </c>
      <c r="D54" s="114" t="s">
        <v>2559</v>
      </c>
      <c r="E54" s="114" t="b">
        <v>0</v>
      </c>
      <c r="F54" s="114" t="b">
        <v>0</v>
      </c>
      <c r="G54" s="114" t="b">
        <v>0</v>
      </c>
    </row>
    <row r="55" spans="1:7" ht="15">
      <c r="A55" s="114" t="s">
        <v>1784</v>
      </c>
      <c r="B55" s="114">
        <v>21</v>
      </c>
      <c r="C55" s="116">
        <v>0.0029697188989554328</v>
      </c>
      <c r="D55" s="114" t="s">
        <v>2559</v>
      </c>
      <c r="E55" s="114" t="b">
        <v>0</v>
      </c>
      <c r="F55" s="114" t="b">
        <v>0</v>
      </c>
      <c r="G55" s="114" t="b">
        <v>0</v>
      </c>
    </row>
    <row r="56" spans="1:7" ht="15">
      <c r="A56" s="114" t="s">
        <v>1785</v>
      </c>
      <c r="B56" s="114">
        <v>21</v>
      </c>
      <c r="C56" s="116">
        <v>0.004178019134776257</v>
      </c>
      <c r="D56" s="114" t="s">
        <v>2559</v>
      </c>
      <c r="E56" s="114" t="b">
        <v>0</v>
      </c>
      <c r="F56" s="114" t="b">
        <v>0</v>
      </c>
      <c r="G56" s="114" t="b">
        <v>0</v>
      </c>
    </row>
    <row r="57" spans="1:7" ht="15">
      <c r="A57" s="114" t="s">
        <v>1786</v>
      </c>
      <c r="B57" s="114">
        <v>21</v>
      </c>
      <c r="C57" s="116">
        <v>0.00365780364411203</v>
      </c>
      <c r="D57" s="114" t="s">
        <v>2559</v>
      </c>
      <c r="E57" s="114" t="b">
        <v>0</v>
      </c>
      <c r="F57" s="114" t="b">
        <v>0</v>
      </c>
      <c r="G57" s="114" t="b">
        <v>0</v>
      </c>
    </row>
    <row r="58" spans="1:7" ht="15">
      <c r="A58" s="114" t="s">
        <v>1787</v>
      </c>
      <c r="B58" s="114">
        <v>20</v>
      </c>
      <c r="C58" s="116">
        <v>0.0029437946031462014</v>
      </c>
      <c r="D58" s="114" t="s">
        <v>2559</v>
      </c>
      <c r="E58" s="114" t="b">
        <v>0</v>
      </c>
      <c r="F58" s="114" t="b">
        <v>0</v>
      </c>
      <c r="G58" s="114" t="b">
        <v>0</v>
      </c>
    </row>
    <row r="59" spans="1:7" ht="15">
      <c r="A59" s="114" t="s">
        <v>1788</v>
      </c>
      <c r="B59" s="114">
        <v>20</v>
      </c>
      <c r="C59" s="116">
        <v>0.003979065842644054</v>
      </c>
      <c r="D59" s="114" t="s">
        <v>2559</v>
      </c>
      <c r="E59" s="114" t="b">
        <v>0</v>
      </c>
      <c r="F59" s="114" t="b">
        <v>0</v>
      </c>
      <c r="G59" s="114" t="b">
        <v>0</v>
      </c>
    </row>
    <row r="60" spans="1:7" ht="15">
      <c r="A60" s="114" t="s">
        <v>1789</v>
      </c>
      <c r="B60" s="114">
        <v>20</v>
      </c>
      <c r="C60" s="116">
        <v>0.0043478897590454625</v>
      </c>
      <c r="D60" s="114" t="s">
        <v>2559</v>
      </c>
      <c r="E60" s="114" t="b">
        <v>0</v>
      </c>
      <c r="F60" s="114" t="b">
        <v>0</v>
      </c>
      <c r="G60" s="114" t="b">
        <v>0</v>
      </c>
    </row>
    <row r="61" spans="1:7" ht="15">
      <c r="A61" s="114" t="s">
        <v>1790</v>
      </c>
      <c r="B61" s="114">
        <v>20</v>
      </c>
      <c r="C61" s="116">
        <v>0.003072902433654483</v>
      </c>
      <c r="D61" s="114" t="s">
        <v>2559</v>
      </c>
      <c r="E61" s="114" t="b">
        <v>0</v>
      </c>
      <c r="F61" s="114" t="b">
        <v>0</v>
      </c>
      <c r="G61" s="114" t="b">
        <v>0</v>
      </c>
    </row>
    <row r="62" spans="1:7" ht="15">
      <c r="A62" s="114" t="s">
        <v>1791</v>
      </c>
      <c r="B62" s="114">
        <v>19</v>
      </c>
      <c r="C62" s="116">
        <v>0.003309441392291837</v>
      </c>
      <c r="D62" s="114" t="s">
        <v>2559</v>
      </c>
      <c r="E62" s="114" t="b">
        <v>0</v>
      </c>
      <c r="F62" s="114" t="b">
        <v>0</v>
      </c>
      <c r="G62" s="114" t="b">
        <v>0</v>
      </c>
    </row>
    <row r="63" spans="1:7" ht="15">
      <c r="A63" s="114" t="s">
        <v>1792</v>
      </c>
      <c r="B63" s="114">
        <v>19</v>
      </c>
      <c r="C63" s="116">
        <v>0.003408691899359767</v>
      </c>
      <c r="D63" s="114" t="s">
        <v>2559</v>
      </c>
      <c r="E63" s="114" t="b">
        <v>0</v>
      </c>
      <c r="F63" s="114" t="b">
        <v>0</v>
      </c>
      <c r="G63" s="114" t="b">
        <v>0</v>
      </c>
    </row>
    <row r="64" spans="1:7" ht="15">
      <c r="A64" s="114" t="s">
        <v>1793</v>
      </c>
      <c r="B64" s="114">
        <v>18</v>
      </c>
      <c r="C64" s="116">
        <v>0.00313526026638174</v>
      </c>
      <c r="D64" s="114" t="s">
        <v>2559</v>
      </c>
      <c r="E64" s="114" t="b">
        <v>0</v>
      </c>
      <c r="F64" s="114" t="b">
        <v>0</v>
      </c>
      <c r="G64" s="114" t="b">
        <v>0</v>
      </c>
    </row>
    <row r="65" spans="1:7" ht="15">
      <c r="A65" s="114" t="s">
        <v>1794</v>
      </c>
      <c r="B65" s="114">
        <v>18</v>
      </c>
      <c r="C65" s="116">
        <v>0.0027656121902890347</v>
      </c>
      <c r="D65" s="114" t="s">
        <v>2559</v>
      </c>
      <c r="E65" s="114" t="b">
        <v>0</v>
      </c>
      <c r="F65" s="114" t="b">
        <v>0</v>
      </c>
      <c r="G65" s="114" t="b">
        <v>0</v>
      </c>
    </row>
    <row r="66" spans="1:7" ht="15">
      <c r="A66" s="114" t="s">
        <v>1795</v>
      </c>
      <c r="B66" s="114">
        <v>18</v>
      </c>
      <c r="C66" s="116">
        <v>0.00289734553779009</v>
      </c>
      <c r="D66" s="114" t="s">
        <v>2559</v>
      </c>
      <c r="E66" s="114" t="b">
        <v>0</v>
      </c>
      <c r="F66" s="114" t="b">
        <v>1</v>
      </c>
      <c r="G66" s="114" t="b">
        <v>0</v>
      </c>
    </row>
    <row r="67" spans="1:7" ht="15">
      <c r="A67" s="114" t="s">
        <v>1796</v>
      </c>
      <c r="B67" s="114">
        <v>18</v>
      </c>
      <c r="C67" s="116">
        <v>0.0033332288634211394</v>
      </c>
      <c r="D67" s="114" t="s">
        <v>2559</v>
      </c>
      <c r="E67" s="114" t="b">
        <v>0</v>
      </c>
      <c r="F67" s="114" t="b">
        <v>0</v>
      </c>
      <c r="G67" s="114" t="b">
        <v>0</v>
      </c>
    </row>
    <row r="68" spans="1:7" ht="15">
      <c r="A68" s="114" t="s">
        <v>1797</v>
      </c>
      <c r="B68" s="114">
        <v>18</v>
      </c>
      <c r="C68" s="116">
        <v>0.0037332342474446457</v>
      </c>
      <c r="D68" s="114" t="s">
        <v>2559</v>
      </c>
      <c r="E68" s="114" t="b">
        <v>0</v>
      </c>
      <c r="F68" s="114" t="b">
        <v>0</v>
      </c>
      <c r="G68" s="114" t="b">
        <v>0</v>
      </c>
    </row>
    <row r="69" spans="1:7" ht="15">
      <c r="A69" s="114" t="s">
        <v>1798</v>
      </c>
      <c r="B69" s="114">
        <v>17</v>
      </c>
      <c r="C69" s="116">
        <v>0.0028054303088807303</v>
      </c>
      <c r="D69" s="114" t="s">
        <v>2559</v>
      </c>
      <c r="E69" s="114" t="b">
        <v>0</v>
      </c>
      <c r="F69" s="114" t="b">
        <v>0</v>
      </c>
      <c r="G69" s="114" t="b">
        <v>0</v>
      </c>
    </row>
    <row r="70" spans="1:7" ht="15">
      <c r="A70" s="114" t="s">
        <v>1799</v>
      </c>
      <c r="B70" s="114">
        <v>17</v>
      </c>
      <c r="C70" s="116">
        <v>0.0030498822257429494</v>
      </c>
      <c r="D70" s="114" t="s">
        <v>2559</v>
      </c>
      <c r="E70" s="114" t="b">
        <v>0</v>
      </c>
      <c r="F70" s="114" t="b">
        <v>0</v>
      </c>
      <c r="G70" s="114" t="b">
        <v>0</v>
      </c>
    </row>
    <row r="71" spans="1:7" ht="15">
      <c r="A71" s="114" t="s">
        <v>1800</v>
      </c>
      <c r="B71" s="114">
        <v>17</v>
      </c>
      <c r="C71" s="116">
        <v>0.002611967068606311</v>
      </c>
      <c r="D71" s="114" t="s">
        <v>2559</v>
      </c>
      <c r="E71" s="114" t="b">
        <v>0</v>
      </c>
      <c r="F71" s="114" t="b">
        <v>0</v>
      </c>
      <c r="G71" s="114" t="b">
        <v>0</v>
      </c>
    </row>
    <row r="72" spans="1:7" ht="15">
      <c r="A72" s="114" t="s">
        <v>1801</v>
      </c>
      <c r="B72" s="114">
        <v>17</v>
      </c>
      <c r="C72" s="116">
        <v>0.0030498822257429494</v>
      </c>
      <c r="D72" s="114" t="s">
        <v>2559</v>
      </c>
      <c r="E72" s="114" t="b">
        <v>0</v>
      </c>
      <c r="F72" s="114" t="b">
        <v>0</v>
      </c>
      <c r="G72" s="114" t="b">
        <v>0</v>
      </c>
    </row>
    <row r="73" spans="1:7" ht="15">
      <c r="A73" s="114" t="s">
        <v>1802</v>
      </c>
      <c r="B73" s="114">
        <v>17</v>
      </c>
      <c r="C73" s="116">
        <v>0.0032577911380520055</v>
      </c>
      <c r="D73" s="114" t="s">
        <v>2559</v>
      </c>
      <c r="E73" s="114" t="b">
        <v>0</v>
      </c>
      <c r="F73" s="114" t="b">
        <v>0</v>
      </c>
      <c r="G73" s="114" t="b">
        <v>0</v>
      </c>
    </row>
    <row r="74" spans="1:7" ht="15">
      <c r="A74" s="114" t="s">
        <v>1803</v>
      </c>
      <c r="B74" s="114">
        <v>16</v>
      </c>
      <c r="C74" s="116">
        <v>0.0027868980145615463</v>
      </c>
      <c r="D74" s="114" t="s">
        <v>2559</v>
      </c>
      <c r="E74" s="114" t="b">
        <v>0</v>
      </c>
      <c r="F74" s="114" t="b">
        <v>0</v>
      </c>
      <c r="G74" s="114" t="b">
        <v>0</v>
      </c>
    </row>
    <row r="75" spans="1:7" ht="15">
      <c r="A75" s="114" t="s">
        <v>1804</v>
      </c>
      <c r="B75" s="114">
        <v>16</v>
      </c>
      <c r="C75" s="116">
        <v>0.0027105960238711885</v>
      </c>
      <c r="D75" s="114" t="s">
        <v>2559</v>
      </c>
      <c r="E75" s="114" t="b">
        <v>0</v>
      </c>
      <c r="F75" s="114" t="b">
        <v>0</v>
      </c>
      <c r="G75" s="114" t="b">
        <v>0</v>
      </c>
    </row>
    <row r="76" spans="1:7" ht="15">
      <c r="A76" s="114" t="s">
        <v>1805</v>
      </c>
      <c r="B76" s="114">
        <v>16</v>
      </c>
      <c r="C76" s="116">
        <v>0.0027868980145615463</v>
      </c>
      <c r="D76" s="114" t="s">
        <v>2559</v>
      </c>
      <c r="E76" s="114" t="b">
        <v>0</v>
      </c>
      <c r="F76" s="114" t="b">
        <v>0</v>
      </c>
      <c r="G76" s="114" t="b">
        <v>0</v>
      </c>
    </row>
    <row r="77" spans="1:7" ht="15">
      <c r="A77" s="114" t="s">
        <v>1806</v>
      </c>
      <c r="B77" s="114">
        <v>16</v>
      </c>
      <c r="C77" s="116">
        <v>0.003183252674115243</v>
      </c>
      <c r="D77" s="114" t="s">
        <v>2559</v>
      </c>
      <c r="E77" s="114" t="b">
        <v>0</v>
      </c>
      <c r="F77" s="114" t="b">
        <v>0</v>
      </c>
      <c r="G77" s="114" t="b">
        <v>0</v>
      </c>
    </row>
    <row r="78" spans="1:7" ht="15">
      <c r="A78" s="114" t="s">
        <v>1807</v>
      </c>
      <c r="B78" s="114">
        <v>16</v>
      </c>
      <c r="C78" s="116">
        <v>0.003183252674115243</v>
      </c>
      <c r="D78" s="114" t="s">
        <v>2559</v>
      </c>
      <c r="E78" s="114" t="b">
        <v>0</v>
      </c>
      <c r="F78" s="114" t="b">
        <v>0</v>
      </c>
      <c r="G78" s="114" t="b">
        <v>0</v>
      </c>
    </row>
    <row r="79" spans="1:7" ht="15">
      <c r="A79" s="114" t="s">
        <v>1808</v>
      </c>
      <c r="B79" s="114">
        <v>16</v>
      </c>
      <c r="C79" s="116">
        <v>0.0024583219469235867</v>
      </c>
      <c r="D79" s="114" t="s">
        <v>2559</v>
      </c>
      <c r="E79" s="114" t="b">
        <v>0</v>
      </c>
      <c r="F79" s="114" t="b">
        <v>0</v>
      </c>
      <c r="G79" s="114" t="b">
        <v>0</v>
      </c>
    </row>
    <row r="80" spans="1:7" ht="15">
      <c r="A80" s="114" t="s">
        <v>1809</v>
      </c>
      <c r="B80" s="114">
        <v>16</v>
      </c>
      <c r="C80" s="116">
        <v>0.0030661563652254163</v>
      </c>
      <c r="D80" s="114" t="s">
        <v>2559</v>
      </c>
      <c r="E80" s="114" t="b">
        <v>0</v>
      </c>
      <c r="F80" s="114" t="b">
        <v>0</v>
      </c>
      <c r="G80" s="114" t="b">
        <v>0</v>
      </c>
    </row>
    <row r="81" spans="1:7" ht="15">
      <c r="A81" s="114" t="s">
        <v>1810</v>
      </c>
      <c r="B81" s="114">
        <v>16</v>
      </c>
      <c r="C81" s="116">
        <v>0.0025149170475803127</v>
      </c>
      <c r="D81" s="114" t="s">
        <v>2559</v>
      </c>
      <c r="E81" s="114" t="b">
        <v>0</v>
      </c>
      <c r="F81" s="114" t="b">
        <v>0</v>
      </c>
      <c r="G81" s="114" t="b">
        <v>0</v>
      </c>
    </row>
    <row r="82" spans="1:7" ht="15">
      <c r="A82" s="114" t="s">
        <v>1811</v>
      </c>
      <c r="B82" s="114">
        <v>15</v>
      </c>
      <c r="C82" s="116">
        <v>0.0026910725521261314</v>
      </c>
      <c r="D82" s="114" t="s">
        <v>2559</v>
      </c>
      <c r="E82" s="114" t="b">
        <v>0</v>
      </c>
      <c r="F82" s="114" t="b">
        <v>0</v>
      </c>
      <c r="G82" s="114" t="b">
        <v>0</v>
      </c>
    </row>
    <row r="83" spans="1:7" ht="15">
      <c r="A83" s="114" t="s">
        <v>1812</v>
      </c>
      <c r="B83" s="114">
        <v>15</v>
      </c>
      <c r="C83" s="116">
        <v>0.0026910725521261314</v>
      </c>
      <c r="D83" s="114" t="s">
        <v>2559</v>
      </c>
      <c r="E83" s="114" t="b">
        <v>0</v>
      </c>
      <c r="F83" s="114" t="b">
        <v>0</v>
      </c>
      <c r="G83" s="114" t="b">
        <v>0</v>
      </c>
    </row>
    <row r="84" spans="1:7" ht="15">
      <c r="A84" s="114" t="s">
        <v>1813</v>
      </c>
      <c r="B84" s="114">
        <v>15</v>
      </c>
      <c r="C84" s="116">
        <v>0.002357734732106543</v>
      </c>
      <c r="D84" s="114" t="s">
        <v>2559</v>
      </c>
      <c r="E84" s="114" t="b">
        <v>0</v>
      </c>
      <c r="F84" s="114" t="b">
        <v>0</v>
      </c>
      <c r="G84" s="114" t="b">
        <v>0</v>
      </c>
    </row>
    <row r="85" spans="1:7" ht="15">
      <c r="A85" s="114" t="s">
        <v>1814</v>
      </c>
      <c r="B85" s="114">
        <v>14</v>
      </c>
      <c r="C85" s="116">
        <v>0.0025116677153177226</v>
      </c>
      <c r="D85" s="114" t="s">
        <v>2559</v>
      </c>
      <c r="E85" s="114" t="b">
        <v>0</v>
      </c>
      <c r="F85" s="114" t="b">
        <v>0</v>
      </c>
      <c r="G85" s="114" t="b">
        <v>0</v>
      </c>
    </row>
    <row r="86" spans="1:7" ht="15">
      <c r="A86" s="114" t="s">
        <v>1815</v>
      </c>
      <c r="B86" s="114">
        <v>14</v>
      </c>
      <c r="C86" s="116">
        <v>0.0034354817529154923</v>
      </c>
      <c r="D86" s="114" t="s">
        <v>2559</v>
      </c>
      <c r="E86" s="114" t="b">
        <v>0</v>
      </c>
      <c r="F86" s="114" t="b">
        <v>0</v>
      </c>
      <c r="G86" s="114" t="b">
        <v>0</v>
      </c>
    </row>
    <row r="87" spans="1:7" ht="15">
      <c r="A87" s="114" t="s">
        <v>1816</v>
      </c>
      <c r="B87" s="114">
        <v>14</v>
      </c>
      <c r="C87" s="116">
        <v>0.002253490973836737</v>
      </c>
      <c r="D87" s="114" t="s">
        <v>2559</v>
      </c>
      <c r="E87" s="114" t="b">
        <v>0</v>
      </c>
      <c r="F87" s="114" t="b">
        <v>0</v>
      </c>
      <c r="G87" s="114" t="b">
        <v>0</v>
      </c>
    </row>
    <row r="88" spans="1:7" ht="15">
      <c r="A88" s="114" t="s">
        <v>1817</v>
      </c>
      <c r="B88" s="114">
        <v>14</v>
      </c>
      <c r="C88" s="116">
        <v>0.0023103543720194245</v>
      </c>
      <c r="D88" s="114" t="s">
        <v>2559</v>
      </c>
      <c r="E88" s="114" t="b">
        <v>0</v>
      </c>
      <c r="F88" s="114" t="b">
        <v>0</v>
      </c>
      <c r="G88" s="114" t="b">
        <v>0</v>
      </c>
    </row>
    <row r="89" spans="1:7" ht="15">
      <c r="A89" s="114" t="s">
        <v>1818</v>
      </c>
      <c r="B89" s="114">
        <v>14</v>
      </c>
      <c r="C89" s="116">
        <v>0.00237177152088729</v>
      </c>
      <c r="D89" s="114" t="s">
        <v>2559</v>
      </c>
      <c r="E89" s="114" t="b">
        <v>0</v>
      </c>
      <c r="F89" s="114" t="b">
        <v>0</v>
      </c>
      <c r="G89" s="114" t="b">
        <v>0</v>
      </c>
    </row>
    <row r="90" spans="1:7" ht="15">
      <c r="A90" s="114" t="s">
        <v>1819</v>
      </c>
      <c r="B90" s="114">
        <v>14</v>
      </c>
      <c r="C90" s="116">
        <v>0.0025116677153177226</v>
      </c>
      <c r="D90" s="114" t="s">
        <v>2559</v>
      </c>
      <c r="E90" s="114" t="b">
        <v>0</v>
      </c>
      <c r="F90" s="114" t="b">
        <v>0</v>
      </c>
      <c r="G90" s="114" t="b">
        <v>0</v>
      </c>
    </row>
    <row r="91" spans="1:7" ht="15">
      <c r="A91" s="114" t="s">
        <v>1820</v>
      </c>
      <c r="B91" s="114">
        <v>14</v>
      </c>
      <c r="C91" s="116">
        <v>0.0032147419355863407</v>
      </c>
      <c r="D91" s="114" t="s">
        <v>2559</v>
      </c>
      <c r="E91" s="114" t="b">
        <v>0</v>
      </c>
      <c r="F91" s="114" t="b">
        <v>0</v>
      </c>
      <c r="G91" s="114" t="b">
        <v>0</v>
      </c>
    </row>
    <row r="92" spans="1:7" ht="15">
      <c r="A92" s="114" t="s">
        <v>1821</v>
      </c>
      <c r="B92" s="114">
        <v>13</v>
      </c>
      <c r="C92" s="116">
        <v>0.002332262878509314</v>
      </c>
      <c r="D92" s="114" t="s">
        <v>2559</v>
      </c>
      <c r="E92" s="114" t="b">
        <v>0</v>
      </c>
      <c r="F92" s="114" t="b">
        <v>0</v>
      </c>
      <c r="G92" s="114" t="b">
        <v>0</v>
      </c>
    </row>
    <row r="93" spans="1:7" ht="15">
      <c r="A93" s="114" t="s">
        <v>1822</v>
      </c>
      <c r="B93" s="114">
        <v>13</v>
      </c>
      <c r="C93" s="116">
        <v>0.002145329059732323</v>
      </c>
      <c r="D93" s="114" t="s">
        <v>2559</v>
      </c>
      <c r="E93" s="114" t="b">
        <v>0</v>
      </c>
      <c r="F93" s="114" t="b">
        <v>0</v>
      </c>
      <c r="G93" s="114" t="b">
        <v>0</v>
      </c>
    </row>
    <row r="94" spans="1:7" ht="15">
      <c r="A94" s="114" t="s">
        <v>1823</v>
      </c>
      <c r="B94" s="114">
        <v>13</v>
      </c>
      <c r="C94" s="116">
        <v>0.002491252046745651</v>
      </c>
      <c r="D94" s="114" t="s">
        <v>2559</v>
      </c>
      <c r="E94" s="114" t="b">
        <v>0</v>
      </c>
      <c r="F94" s="114" t="b">
        <v>0</v>
      </c>
      <c r="G94" s="114" t="b">
        <v>0</v>
      </c>
    </row>
    <row r="95" spans="1:7" ht="15">
      <c r="A95" s="114" t="s">
        <v>1824</v>
      </c>
      <c r="B95" s="114">
        <v>13</v>
      </c>
      <c r="C95" s="116">
        <v>0.0024073319569152675</v>
      </c>
      <c r="D95" s="114" t="s">
        <v>2559</v>
      </c>
      <c r="E95" s="114" t="b">
        <v>0</v>
      </c>
      <c r="F95" s="114" t="b">
        <v>0</v>
      </c>
      <c r="G95" s="114" t="b">
        <v>0</v>
      </c>
    </row>
    <row r="96" spans="1:7" ht="15">
      <c r="A96" s="114" t="s">
        <v>1825</v>
      </c>
      <c r="B96" s="114">
        <v>13</v>
      </c>
      <c r="C96" s="116">
        <v>0.0022643546368312567</v>
      </c>
      <c r="D96" s="114" t="s">
        <v>2559</v>
      </c>
      <c r="E96" s="114" t="b">
        <v>0</v>
      </c>
      <c r="F96" s="114" t="b">
        <v>0</v>
      </c>
      <c r="G96" s="114" t="b">
        <v>0</v>
      </c>
    </row>
    <row r="97" spans="1:7" ht="15">
      <c r="A97" s="114" t="s">
        <v>1826</v>
      </c>
      <c r="B97" s="114">
        <v>13</v>
      </c>
      <c r="C97" s="116">
        <v>0.002491252046745651</v>
      </c>
      <c r="D97" s="114" t="s">
        <v>2559</v>
      </c>
      <c r="E97" s="114" t="b">
        <v>0</v>
      </c>
      <c r="F97" s="114" t="b">
        <v>0</v>
      </c>
      <c r="G97" s="114" t="b">
        <v>0</v>
      </c>
    </row>
    <row r="98" spans="1:7" ht="15">
      <c r="A98" s="114" t="s">
        <v>1827</v>
      </c>
      <c r="B98" s="114">
        <v>13</v>
      </c>
      <c r="C98" s="116">
        <v>0.0028261283433795507</v>
      </c>
      <c r="D98" s="114" t="s">
        <v>2559</v>
      </c>
      <c r="E98" s="114" t="b">
        <v>0</v>
      </c>
      <c r="F98" s="114" t="b">
        <v>0</v>
      </c>
      <c r="G98" s="114" t="b">
        <v>0</v>
      </c>
    </row>
    <row r="99" spans="1:7" ht="15">
      <c r="A99" s="114" t="s">
        <v>1828</v>
      </c>
      <c r="B99" s="114">
        <v>13</v>
      </c>
      <c r="C99" s="116">
        <v>0.0029851175116158875</v>
      </c>
      <c r="D99" s="114" t="s">
        <v>2559</v>
      </c>
      <c r="E99" s="114" t="b">
        <v>0</v>
      </c>
      <c r="F99" s="114" t="b">
        <v>0</v>
      </c>
      <c r="G99" s="114" t="b">
        <v>0</v>
      </c>
    </row>
    <row r="100" spans="1:7" ht="15">
      <c r="A100" s="114" t="s">
        <v>1829</v>
      </c>
      <c r="B100" s="114">
        <v>13</v>
      </c>
      <c r="C100" s="116">
        <v>0.0034789829764861244</v>
      </c>
      <c r="D100" s="114" t="s">
        <v>2559</v>
      </c>
      <c r="E100" s="114" t="b">
        <v>0</v>
      </c>
      <c r="F100" s="114" t="b">
        <v>0</v>
      </c>
      <c r="G100" s="114" t="b">
        <v>0</v>
      </c>
    </row>
    <row r="101" spans="1:7" ht="15">
      <c r="A101" s="114" t="s">
        <v>1830</v>
      </c>
      <c r="B101" s="114">
        <v>13</v>
      </c>
      <c r="C101" s="116">
        <v>0.002332262878509314</v>
      </c>
      <c r="D101" s="114" t="s">
        <v>2559</v>
      </c>
      <c r="E101" s="114" t="b">
        <v>0</v>
      </c>
      <c r="F101" s="114" t="b">
        <v>0</v>
      </c>
      <c r="G101" s="114" t="b">
        <v>0</v>
      </c>
    </row>
    <row r="102" spans="1:7" ht="15">
      <c r="A102" s="114" t="s">
        <v>1831</v>
      </c>
      <c r="B102" s="114">
        <v>13</v>
      </c>
      <c r="C102" s="116">
        <v>0.002332262878509314</v>
      </c>
      <c r="D102" s="114" t="s">
        <v>2559</v>
      </c>
      <c r="E102" s="114" t="b">
        <v>0</v>
      </c>
      <c r="F102" s="114" t="b">
        <v>0</v>
      </c>
      <c r="G102" s="114" t="b">
        <v>0</v>
      </c>
    </row>
    <row r="103" spans="1:7" ht="15">
      <c r="A103" s="114" t="s">
        <v>1832</v>
      </c>
      <c r="B103" s="114">
        <v>13</v>
      </c>
      <c r="C103" s="116">
        <v>0.002145329059732323</v>
      </c>
      <c r="D103" s="114" t="s">
        <v>2559</v>
      </c>
      <c r="E103" s="114" t="b">
        <v>0</v>
      </c>
      <c r="F103" s="114" t="b">
        <v>0</v>
      </c>
      <c r="G103" s="114" t="b">
        <v>0</v>
      </c>
    </row>
    <row r="104" spans="1:7" ht="15">
      <c r="A104" s="114" t="s">
        <v>1833</v>
      </c>
      <c r="B104" s="114">
        <v>13</v>
      </c>
      <c r="C104" s="116">
        <v>0.002145329059732323</v>
      </c>
      <c r="D104" s="114" t="s">
        <v>2559</v>
      </c>
      <c r="E104" s="114" t="b">
        <v>0</v>
      </c>
      <c r="F104" s="114" t="b">
        <v>0</v>
      </c>
      <c r="G104" s="114" t="b">
        <v>0</v>
      </c>
    </row>
    <row r="105" spans="1:7" ht="15">
      <c r="A105" s="114" t="s">
        <v>1834</v>
      </c>
      <c r="B105" s="114">
        <v>12</v>
      </c>
      <c r="C105" s="116">
        <v>0.0020329470179033912</v>
      </c>
      <c r="D105" s="114" t="s">
        <v>2559</v>
      </c>
      <c r="E105" s="114" t="b">
        <v>0</v>
      </c>
      <c r="F105" s="114" t="b">
        <v>0</v>
      </c>
      <c r="G105" s="114" t="b">
        <v>0</v>
      </c>
    </row>
    <row r="106" spans="1:7" ht="15">
      <c r="A106" s="114" t="s">
        <v>1835</v>
      </c>
      <c r="B106" s="114">
        <v>12</v>
      </c>
      <c r="C106" s="116">
        <v>0.0027554930876454347</v>
      </c>
      <c r="D106" s="114" t="s">
        <v>2559</v>
      </c>
      <c r="E106" s="114" t="b">
        <v>0</v>
      </c>
      <c r="F106" s="114" t="b">
        <v>0</v>
      </c>
      <c r="G106" s="114" t="b">
        <v>0</v>
      </c>
    </row>
    <row r="107" spans="1:7" ht="15">
      <c r="A107" s="114" t="s">
        <v>1836</v>
      </c>
      <c r="B107" s="114">
        <v>12</v>
      </c>
      <c r="C107" s="116">
        <v>0.0027554930876454347</v>
      </c>
      <c r="D107" s="114" t="s">
        <v>2559</v>
      </c>
      <c r="E107" s="114" t="b">
        <v>0</v>
      </c>
      <c r="F107" s="114" t="b">
        <v>0</v>
      </c>
      <c r="G107" s="114" t="b">
        <v>0</v>
      </c>
    </row>
    <row r="108" spans="1:7" ht="15">
      <c r="A108" s="114" t="s">
        <v>1837</v>
      </c>
      <c r="B108" s="114">
        <v>12</v>
      </c>
      <c r="C108" s="116">
        <v>0.0027554930876454347</v>
      </c>
      <c r="D108" s="114" t="s">
        <v>2559</v>
      </c>
      <c r="E108" s="114" t="b">
        <v>0</v>
      </c>
      <c r="F108" s="114" t="b">
        <v>0</v>
      </c>
      <c r="G108" s="114" t="b">
        <v>0</v>
      </c>
    </row>
    <row r="109" spans="1:7" ht="15">
      <c r="A109" s="114" t="s">
        <v>1838</v>
      </c>
      <c r="B109" s="114">
        <v>12</v>
      </c>
      <c r="C109" s="116">
        <v>0.0022996172739190622</v>
      </c>
      <c r="D109" s="114" t="s">
        <v>2559</v>
      </c>
      <c r="E109" s="114" t="b">
        <v>0</v>
      </c>
      <c r="F109" s="114" t="b">
        <v>0</v>
      </c>
      <c r="G109" s="114" t="b">
        <v>0</v>
      </c>
    </row>
    <row r="110" spans="1:7" ht="15">
      <c r="A110" s="114" t="s">
        <v>1839</v>
      </c>
      <c r="B110" s="114">
        <v>12</v>
      </c>
      <c r="C110" s="116">
        <v>0.002944698645356136</v>
      </c>
      <c r="D110" s="114" t="s">
        <v>2559</v>
      </c>
      <c r="E110" s="114" t="b">
        <v>0</v>
      </c>
      <c r="F110" s="114" t="b">
        <v>0</v>
      </c>
      <c r="G110" s="114" t="b">
        <v>0</v>
      </c>
    </row>
    <row r="111" spans="1:7" ht="15">
      <c r="A111" s="114" t="s">
        <v>1840</v>
      </c>
      <c r="B111" s="114">
        <v>12</v>
      </c>
      <c r="C111" s="116">
        <v>0.0020329470179033912</v>
      </c>
      <c r="D111" s="114" t="s">
        <v>2559</v>
      </c>
      <c r="E111" s="114" t="b">
        <v>0</v>
      </c>
      <c r="F111" s="114" t="b">
        <v>0</v>
      </c>
      <c r="G111" s="114" t="b">
        <v>0</v>
      </c>
    </row>
    <row r="112" spans="1:7" ht="15">
      <c r="A112" s="114" t="s">
        <v>1841</v>
      </c>
      <c r="B112" s="114">
        <v>12</v>
      </c>
      <c r="C112" s="116">
        <v>0.0022996172739190622</v>
      </c>
      <c r="D112" s="114" t="s">
        <v>2559</v>
      </c>
      <c r="E112" s="114" t="b">
        <v>0</v>
      </c>
      <c r="F112" s="114" t="b">
        <v>0</v>
      </c>
      <c r="G112" s="114" t="b">
        <v>0</v>
      </c>
    </row>
    <row r="113" spans="1:7" ht="15">
      <c r="A113" s="114" t="s">
        <v>1842</v>
      </c>
      <c r="B113" s="114">
        <v>12</v>
      </c>
      <c r="C113" s="116">
        <v>0.0022996172739190622</v>
      </c>
      <c r="D113" s="114" t="s">
        <v>2559</v>
      </c>
      <c r="E113" s="114" t="b">
        <v>0</v>
      </c>
      <c r="F113" s="114" t="b">
        <v>0</v>
      </c>
      <c r="G113" s="114" t="b">
        <v>0</v>
      </c>
    </row>
    <row r="114" spans="1:7" ht="15">
      <c r="A114" s="114" t="s">
        <v>1843</v>
      </c>
      <c r="B114" s="114">
        <v>12</v>
      </c>
      <c r="C114" s="116">
        <v>0.0022996172739190622</v>
      </c>
      <c r="D114" s="114" t="s">
        <v>2559</v>
      </c>
      <c r="E114" s="114" t="b">
        <v>0</v>
      </c>
      <c r="F114" s="114" t="b">
        <v>0</v>
      </c>
      <c r="G114" s="114" t="b">
        <v>0</v>
      </c>
    </row>
    <row r="115" spans="1:7" ht="15">
      <c r="A115" s="114" t="s">
        <v>1844</v>
      </c>
      <c r="B115" s="114">
        <v>12</v>
      </c>
      <c r="C115" s="116">
        <v>0.003211368901371807</v>
      </c>
      <c r="D115" s="114" t="s">
        <v>2559</v>
      </c>
      <c r="E115" s="114" t="b">
        <v>0</v>
      </c>
      <c r="F115" s="114" t="b">
        <v>0</v>
      </c>
      <c r="G115" s="114" t="b">
        <v>0</v>
      </c>
    </row>
    <row r="116" spans="1:7" ht="15">
      <c r="A116" s="114" t="s">
        <v>1845</v>
      </c>
      <c r="B116" s="114">
        <v>11</v>
      </c>
      <c r="C116" s="116">
        <v>0.00228142092899395</v>
      </c>
      <c r="D116" s="114" t="s">
        <v>2559</v>
      </c>
      <c r="E116" s="114" t="b">
        <v>0</v>
      </c>
      <c r="F116" s="114" t="b">
        <v>0</v>
      </c>
      <c r="G116" s="114" t="b">
        <v>0</v>
      </c>
    </row>
    <row r="117" spans="1:7" ht="15">
      <c r="A117" s="114" t="s">
        <v>1846</v>
      </c>
      <c r="B117" s="114">
        <v>11</v>
      </c>
      <c r="C117" s="116">
        <v>0.0026993070915764584</v>
      </c>
      <c r="D117" s="114" t="s">
        <v>2559</v>
      </c>
      <c r="E117" s="114" t="b">
        <v>0</v>
      </c>
      <c r="F117" s="114" t="b">
        <v>0</v>
      </c>
      <c r="G117" s="114" t="b">
        <v>0</v>
      </c>
    </row>
    <row r="118" spans="1:7" ht="15">
      <c r="A118" s="114" t="s">
        <v>1847</v>
      </c>
      <c r="B118" s="114">
        <v>11</v>
      </c>
      <c r="C118" s="116">
        <v>0.0019159923850110632</v>
      </c>
      <c r="D118" s="114" t="s">
        <v>2559</v>
      </c>
      <c r="E118" s="114" t="b">
        <v>0</v>
      </c>
      <c r="F118" s="114" t="b">
        <v>0</v>
      </c>
      <c r="G118" s="114" t="b">
        <v>0</v>
      </c>
    </row>
    <row r="119" spans="1:7" ht="15">
      <c r="A119" s="114" t="s">
        <v>1848</v>
      </c>
      <c r="B119" s="114">
        <v>11</v>
      </c>
      <c r="C119" s="116">
        <v>0.0020369731943129187</v>
      </c>
      <c r="D119" s="114" t="s">
        <v>2559</v>
      </c>
      <c r="E119" s="114" t="b">
        <v>0</v>
      </c>
      <c r="F119" s="114" t="b">
        <v>1</v>
      </c>
      <c r="G119" s="114" t="b">
        <v>0</v>
      </c>
    </row>
    <row r="120" spans="1:7" ht="15">
      <c r="A120" s="114" t="s">
        <v>1849</v>
      </c>
      <c r="B120" s="114">
        <v>11</v>
      </c>
      <c r="C120" s="116">
        <v>0.002107982501092474</v>
      </c>
      <c r="D120" s="114" t="s">
        <v>2559</v>
      </c>
      <c r="E120" s="114" t="b">
        <v>0</v>
      </c>
      <c r="F120" s="114" t="b">
        <v>0</v>
      </c>
      <c r="G120" s="114" t="b">
        <v>0</v>
      </c>
    </row>
    <row r="121" spans="1:7" ht="15">
      <c r="A121" s="114" t="s">
        <v>1850</v>
      </c>
      <c r="B121" s="114">
        <v>11</v>
      </c>
      <c r="C121" s="116">
        <v>0.0019159923850110632</v>
      </c>
      <c r="D121" s="114" t="s">
        <v>2559</v>
      </c>
      <c r="E121" s="114" t="b">
        <v>0</v>
      </c>
      <c r="F121" s="114" t="b">
        <v>0</v>
      </c>
      <c r="G121" s="114" t="b">
        <v>0</v>
      </c>
    </row>
    <row r="122" spans="1:7" ht="15">
      <c r="A122" s="114" t="s">
        <v>1851</v>
      </c>
      <c r="B122" s="114">
        <v>11</v>
      </c>
      <c r="C122" s="116">
        <v>0.00228142092899395</v>
      </c>
      <c r="D122" s="114" t="s">
        <v>2559</v>
      </c>
      <c r="E122" s="114" t="b">
        <v>0</v>
      </c>
      <c r="F122" s="114" t="b">
        <v>0</v>
      </c>
      <c r="G122" s="114" t="b">
        <v>0</v>
      </c>
    </row>
    <row r="123" spans="1:7" ht="15">
      <c r="A123" s="114" t="s">
        <v>1852</v>
      </c>
      <c r="B123" s="114">
        <v>11</v>
      </c>
      <c r="C123" s="116">
        <v>0.0021884862134542295</v>
      </c>
      <c r="D123" s="114" t="s">
        <v>2559</v>
      </c>
      <c r="E123" s="114" t="b">
        <v>0</v>
      </c>
      <c r="F123" s="114" t="b">
        <v>0</v>
      </c>
      <c r="G123" s="114" t="b">
        <v>0</v>
      </c>
    </row>
    <row r="124" spans="1:7" ht="15">
      <c r="A124" s="114" t="s">
        <v>1853</v>
      </c>
      <c r="B124" s="114">
        <v>11</v>
      </c>
      <c r="C124" s="116">
        <v>0.0026993070915764584</v>
      </c>
      <c r="D124" s="114" t="s">
        <v>2559</v>
      </c>
      <c r="E124" s="114" t="b">
        <v>0</v>
      </c>
      <c r="F124" s="114" t="b">
        <v>0</v>
      </c>
      <c r="G124" s="114" t="b">
        <v>0</v>
      </c>
    </row>
    <row r="125" spans="1:7" ht="15">
      <c r="A125" s="114" t="s">
        <v>1854</v>
      </c>
      <c r="B125" s="114">
        <v>11</v>
      </c>
      <c r="C125" s="116">
        <v>0.0023913393674750046</v>
      </c>
      <c r="D125" s="114" t="s">
        <v>2559</v>
      </c>
      <c r="E125" s="114" t="b">
        <v>0</v>
      </c>
      <c r="F125" s="114" t="b">
        <v>0</v>
      </c>
      <c r="G125" s="114" t="b">
        <v>0</v>
      </c>
    </row>
    <row r="126" spans="1:7" ht="15">
      <c r="A126" s="114" t="s">
        <v>1855</v>
      </c>
      <c r="B126" s="114">
        <v>11</v>
      </c>
      <c r="C126" s="116">
        <v>0.0023913393674750046</v>
      </c>
      <c r="D126" s="114" t="s">
        <v>2559</v>
      </c>
      <c r="E126" s="114" t="b">
        <v>0</v>
      </c>
      <c r="F126" s="114" t="b">
        <v>0</v>
      </c>
      <c r="G126" s="114" t="b">
        <v>0</v>
      </c>
    </row>
    <row r="127" spans="1:7" ht="15">
      <c r="A127" s="114" t="s">
        <v>1856</v>
      </c>
      <c r="B127" s="114">
        <v>11</v>
      </c>
      <c r="C127" s="116">
        <v>0.0021884862134542295</v>
      </c>
      <c r="D127" s="114" t="s">
        <v>2559</v>
      </c>
      <c r="E127" s="114" t="b">
        <v>0</v>
      </c>
      <c r="F127" s="114" t="b">
        <v>0</v>
      </c>
      <c r="G127" s="114" t="b">
        <v>0</v>
      </c>
    </row>
    <row r="128" spans="1:7" ht="15">
      <c r="A128" s="114" t="s">
        <v>1857</v>
      </c>
      <c r="B128" s="114">
        <v>11</v>
      </c>
      <c r="C128" s="116">
        <v>0.0019159923850110632</v>
      </c>
      <c r="D128" s="114" t="s">
        <v>2559</v>
      </c>
      <c r="E128" s="114" t="b">
        <v>0</v>
      </c>
      <c r="F128" s="114" t="b">
        <v>0</v>
      </c>
      <c r="G128" s="114" t="b">
        <v>0</v>
      </c>
    </row>
    <row r="129" spans="1:7" ht="15">
      <c r="A129" s="114" t="s">
        <v>1858</v>
      </c>
      <c r="B129" s="114">
        <v>11</v>
      </c>
      <c r="C129" s="116">
        <v>0.0019159923850110632</v>
      </c>
      <c r="D129" s="114" t="s">
        <v>2559</v>
      </c>
      <c r="E129" s="114" t="b">
        <v>0</v>
      </c>
      <c r="F129" s="114" t="b">
        <v>0</v>
      </c>
      <c r="G129" s="114" t="b">
        <v>0</v>
      </c>
    </row>
    <row r="130" spans="1:7" ht="15">
      <c r="A130" s="114" t="s">
        <v>1859</v>
      </c>
      <c r="B130" s="114">
        <v>11</v>
      </c>
      <c r="C130" s="116">
        <v>0.0029437548262574898</v>
      </c>
      <c r="D130" s="114" t="s">
        <v>2559</v>
      </c>
      <c r="E130" s="114" t="b">
        <v>0</v>
      </c>
      <c r="F130" s="114" t="b">
        <v>0</v>
      </c>
      <c r="G130" s="114" t="b">
        <v>0</v>
      </c>
    </row>
    <row r="131" spans="1:7" ht="15">
      <c r="A131" s="114" t="s">
        <v>1860</v>
      </c>
      <c r="B131" s="114">
        <v>11</v>
      </c>
      <c r="C131" s="116">
        <v>0.003361640988839998</v>
      </c>
      <c r="D131" s="114" t="s">
        <v>2559</v>
      </c>
      <c r="E131" s="114" t="b">
        <v>0</v>
      </c>
      <c r="F131" s="114" t="b">
        <v>1</v>
      </c>
      <c r="G131" s="114" t="b">
        <v>0</v>
      </c>
    </row>
    <row r="132" spans="1:7" ht="15">
      <c r="A132" s="114" t="s">
        <v>1861</v>
      </c>
      <c r="B132" s="114">
        <v>11</v>
      </c>
      <c r="C132" s="116">
        <v>0.0019159923850110632</v>
      </c>
      <c r="D132" s="114" t="s">
        <v>2559</v>
      </c>
      <c r="E132" s="114" t="b">
        <v>0</v>
      </c>
      <c r="F132" s="114" t="b">
        <v>0</v>
      </c>
      <c r="G132" s="114" t="b">
        <v>0</v>
      </c>
    </row>
    <row r="133" spans="1:7" ht="15">
      <c r="A133" s="114" t="s">
        <v>1862</v>
      </c>
      <c r="B133" s="114">
        <v>11</v>
      </c>
      <c r="C133" s="116">
        <v>0.0020369731943129187</v>
      </c>
      <c r="D133" s="114" t="s">
        <v>2559</v>
      </c>
      <c r="E133" s="114" t="b">
        <v>0</v>
      </c>
      <c r="F133" s="114" t="b">
        <v>0</v>
      </c>
      <c r="G133" s="114" t="b">
        <v>0</v>
      </c>
    </row>
    <row r="134" spans="1:7" ht="15">
      <c r="A134" s="114" t="s">
        <v>1863</v>
      </c>
      <c r="B134" s="114">
        <v>11</v>
      </c>
      <c r="C134" s="116">
        <v>0.003361640988839998</v>
      </c>
      <c r="D134" s="114" t="s">
        <v>2559</v>
      </c>
      <c r="E134" s="114" t="b">
        <v>0</v>
      </c>
      <c r="F134" s="114" t="b">
        <v>0</v>
      </c>
      <c r="G134" s="114" t="b">
        <v>0</v>
      </c>
    </row>
    <row r="135" spans="1:7" ht="15">
      <c r="A135" s="114" t="s">
        <v>1864</v>
      </c>
      <c r="B135" s="114">
        <v>10</v>
      </c>
      <c r="C135" s="116">
        <v>0.001851793813011744</v>
      </c>
      <c r="D135" s="114" t="s">
        <v>2559</v>
      </c>
      <c r="E135" s="114" t="b">
        <v>0</v>
      </c>
      <c r="F135" s="114" t="b">
        <v>0</v>
      </c>
      <c r="G135" s="114" t="b">
        <v>0</v>
      </c>
    </row>
    <row r="136" spans="1:7" ht="15">
      <c r="A136" s="114" t="s">
        <v>1865</v>
      </c>
      <c r="B136" s="114">
        <v>10</v>
      </c>
      <c r="C136" s="116">
        <v>0.0017940483680840876</v>
      </c>
      <c r="D136" s="114" t="s">
        <v>2559</v>
      </c>
      <c r="E136" s="114" t="b">
        <v>0</v>
      </c>
      <c r="F136" s="114" t="b">
        <v>0</v>
      </c>
      <c r="G136" s="114" t="b">
        <v>0</v>
      </c>
    </row>
    <row r="137" spans="1:7" ht="15">
      <c r="A137" s="114" t="s">
        <v>1866</v>
      </c>
      <c r="B137" s="114">
        <v>10</v>
      </c>
      <c r="C137" s="116">
        <v>0.0020740190263581365</v>
      </c>
      <c r="D137" s="114" t="s">
        <v>2559</v>
      </c>
      <c r="E137" s="114" t="b">
        <v>0</v>
      </c>
      <c r="F137" s="114" t="b">
        <v>0</v>
      </c>
      <c r="G137" s="114" t="b">
        <v>0</v>
      </c>
    </row>
    <row r="138" spans="1:7" ht="15">
      <c r="A138" s="114" t="s">
        <v>1867</v>
      </c>
      <c r="B138" s="114">
        <v>10</v>
      </c>
      <c r="C138" s="116">
        <v>0.0020740190263581365</v>
      </c>
      <c r="D138" s="114" t="s">
        <v>2559</v>
      </c>
      <c r="E138" s="114" t="b">
        <v>0</v>
      </c>
      <c r="F138" s="114" t="b">
        <v>0</v>
      </c>
      <c r="G138" s="114" t="b">
        <v>0</v>
      </c>
    </row>
    <row r="139" spans="1:7" ht="15">
      <c r="A139" s="114" t="s">
        <v>1868</v>
      </c>
      <c r="B139" s="114">
        <v>10</v>
      </c>
      <c r="C139" s="116">
        <v>0.002296244239704529</v>
      </c>
      <c r="D139" s="114" t="s">
        <v>2559</v>
      </c>
      <c r="E139" s="114" t="b">
        <v>0</v>
      </c>
      <c r="F139" s="114" t="b">
        <v>0</v>
      </c>
      <c r="G139" s="114" t="b">
        <v>0</v>
      </c>
    </row>
    <row r="140" spans="1:7" ht="15">
      <c r="A140" s="114" t="s">
        <v>1869</v>
      </c>
      <c r="B140" s="114">
        <v>10</v>
      </c>
      <c r="C140" s="116">
        <v>0.0017940483680840876</v>
      </c>
      <c r="D140" s="114" t="s">
        <v>2559</v>
      </c>
      <c r="E140" s="114" t="b">
        <v>0</v>
      </c>
      <c r="F140" s="114" t="b">
        <v>0</v>
      </c>
      <c r="G140" s="114" t="b">
        <v>0</v>
      </c>
    </row>
    <row r="141" spans="1:7" ht="15">
      <c r="A141" s="114" t="s">
        <v>1870</v>
      </c>
      <c r="B141" s="114">
        <v>10</v>
      </c>
      <c r="C141" s="116">
        <v>0.0017940483680840876</v>
      </c>
      <c r="D141" s="114" t="s">
        <v>2559</v>
      </c>
      <c r="E141" s="114" t="b">
        <v>0</v>
      </c>
      <c r="F141" s="114" t="b">
        <v>0</v>
      </c>
      <c r="G141" s="114" t="b">
        <v>0</v>
      </c>
    </row>
    <row r="142" spans="1:7" ht="15">
      <c r="A142" s="114" t="s">
        <v>1871</v>
      </c>
      <c r="B142" s="114">
        <v>10</v>
      </c>
      <c r="C142" s="116">
        <v>0.0021739448795227313</v>
      </c>
      <c r="D142" s="114" t="s">
        <v>2559</v>
      </c>
      <c r="E142" s="114" t="b">
        <v>0</v>
      </c>
      <c r="F142" s="114" t="b">
        <v>0</v>
      </c>
      <c r="G142" s="114" t="b">
        <v>0</v>
      </c>
    </row>
    <row r="143" spans="1:7" ht="15">
      <c r="A143" s="114" t="s">
        <v>1872</v>
      </c>
      <c r="B143" s="114">
        <v>10</v>
      </c>
      <c r="C143" s="116">
        <v>0.002296244239704529</v>
      </c>
      <c r="D143" s="114" t="s">
        <v>2559</v>
      </c>
      <c r="E143" s="114" t="b">
        <v>0</v>
      </c>
      <c r="F143" s="114" t="b">
        <v>0</v>
      </c>
      <c r="G143" s="114" t="b">
        <v>0</v>
      </c>
    </row>
    <row r="144" spans="1:7" ht="15">
      <c r="A144" s="114" t="s">
        <v>1873</v>
      </c>
      <c r="B144" s="114">
        <v>10</v>
      </c>
      <c r="C144" s="116">
        <v>0.001989532921322027</v>
      </c>
      <c r="D144" s="114" t="s">
        <v>2559</v>
      </c>
      <c r="E144" s="114" t="b">
        <v>0</v>
      </c>
      <c r="F144" s="114" t="b">
        <v>0</v>
      </c>
      <c r="G144" s="114" t="b">
        <v>0</v>
      </c>
    </row>
    <row r="145" spans="1:7" ht="15">
      <c r="A145" s="114" t="s">
        <v>1874</v>
      </c>
      <c r="B145" s="114">
        <v>10</v>
      </c>
      <c r="C145" s="116">
        <v>0.002296244239704529</v>
      </c>
      <c r="D145" s="114" t="s">
        <v>2559</v>
      </c>
      <c r="E145" s="114" t="b">
        <v>0</v>
      </c>
      <c r="F145" s="114" t="b">
        <v>0</v>
      </c>
      <c r="G145" s="114" t="b">
        <v>0</v>
      </c>
    </row>
    <row r="146" spans="1:7" ht="15">
      <c r="A146" s="114" t="s">
        <v>1875</v>
      </c>
      <c r="B146" s="114">
        <v>10</v>
      </c>
      <c r="C146" s="116">
        <v>0.0019163477282658852</v>
      </c>
      <c r="D146" s="114" t="s">
        <v>2559</v>
      </c>
      <c r="E146" s="114" t="b">
        <v>0</v>
      </c>
      <c r="F146" s="114" t="b">
        <v>0</v>
      </c>
      <c r="G146" s="114" t="b">
        <v>0</v>
      </c>
    </row>
    <row r="147" spans="1:7" ht="15">
      <c r="A147" s="114" t="s">
        <v>1876</v>
      </c>
      <c r="B147" s="114">
        <v>10</v>
      </c>
      <c r="C147" s="116">
        <v>0.0021739448795227313</v>
      </c>
      <c r="D147" s="114" t="s">
        <v>2559</v>
      </c>
      <c r="E147" s="114" t="b">
        <v>0</v>
      </c>
      <c r="F147" s="114" t="b">
        <v>0</v>
      </c>
      <c r="G147" s="114" t="b">
        <v>0</v>
      </c>
    </row>
    <row r="148" spans="1:7" ht="15">
      <c r="A148" s="114" t="s">
        <v>1877</v>
      </c>
      <c r="B148" s="114">
        <v>10</v>
      </c>
      <c r="C148" s="116">
        <v>0.0019163477282658852</v>
      </c>
      <c r="D148" s="114" t="s">
        <v>2559</v>
      </c>
      <c r="E148" s="114" t="b">
        <v>0</v>
      </c>
      <c r="F148" s="114" t="b">
        <v>0</v>
      </c>
      <c r="G148" s="114" t="b">
        <v>0</v>
      </c>
    </row>
    <row r="149" spans="1:7" ht="15">
      <c r="A149" s="114" t="s">
        <v>1878</v>
      </c>
      <c r="B149" s="114">
        <v>10</v>
      </c>
      <c r="C149" s="116">
        <v>0.0020740190263581365</v>
      </c>
      <c r="D149" s="114" t="s">
        <v>2559</v>
      </c>
      <c r="E149" s="114" t="b">
        <v>0</v>
      </c>
      <c r="F149" s="114" t="b">
        <v>0</v>
      </c>
      <c r="G149" s="114" t="b">
        <v>0</v>
      </c>
    </row>
    <row r="150" spans="1:7" ht="15">
      <c r="A150" s="114" t="s">
        <v>1879</v>
      </c>
      <c r="B150" s="114">
        <v>10</v>
      </c>
      <c r="C150" s="116">
        <v>0.001851793813011744</v>
      </c>
      <c r="D150" s="114" t="s">
        <v>2559</v>
      </c>
      <c r="E150" s="114" t="b">
        <v>0</v>
      </c>
      <c r="F150" s="114" t="b">
        <v>0</v>
      </c>
      <c r="G150" s="114" t="b">
        <v>0</v>
      </c>
    </row>
    <row r="151" spans="1:7" ht="15">
      <c r="A151" s="114" t="s">
        <v>1880</v>
      </c>
      <c r="B151" s="114">
        <v>10</v>
      </c>
      <c r="C151" s="116">
        <v>0.001989532921322027</v>
      </c>
      <c r="D151" s="114" t="s">
        <v>2559</v>
      </c>
      <c r="E151" s="114" t="b">
        <v>0</v>
      </c>
      <c r="F151" s="114" t="b">
        <v>0</v>
      </c>
      <c r="G151" s="114" t="b">
        <v>0</v>
      </c>
    </row>
    <row r="152" spans="1:7" ht="15">
      <c r="A152" s="114" t="s">
        <v>1881</v>
      </c>
      <c r="B152" s="114">
        <v>10</v>
      </c>
      <c r="C152" s="116">
        <v>0.001851793813011744</v>
      </c>
      <c r="D152" s="114" t="s">
        <v>2559</v>
      </c>
      <c r="E152" s="114" t="b">
        <v>0</v>
      </c>
      <c r="F152" s="114" t="b">
        <v>0</v>
      </c>
      <c r="G152" s="114" t="b">
        <v>0</v>
      </c>
    </row>
    <row r="153" spans="1:7" ht="15">
      <c r="A153" s="114" t="s">
        <v>1882</v>
      </c>
      <c r="B153" s="114">
        <v>10</v>
      </c>
      <c r="C153" s="116">
        <v>0.0024539155377967803</v>
      </c>
      <c r="D153" s="114" t="s">
        <v>2559</v>
      </c>
      <c r="E153" s="114" t="b">
        <v>0</v>
      </c>
      <c r="F153" s="114" t="b">
        <v>0</v>
      </c>
      <c r="G153" s="114" t="b">
        <v>0</v>
      </c>
    </row>
    <row r="154" spans="1:7" ht="15">
      <c r="A154" s="114" t="s">
        <v>1883</v>
      </c>
      <c r="B154" s="114">
        <v>10</v>
      </c>
      <c r="C154" s="116">
        <v>0.0030560372625818163</v>
      </c>
      <c r="D154" s="114" t="s">
        <v>2559</v>
      </c>
      <c r="E154" s="114" t="b">
        <v>0</v>
      </c>
      <c r="F154" s="114" t="b">
        <v>0</v>
      </c>
      <c r="G154" s="114" t="b">
        <v>0</v>
      </c>
    </row>
    <row r="155" spans="1:7" ht="15">
      <c r="A155" s="114" t="s">
        <v>1884</v>
      </c>
      <c r="B155" s="114">
        <v>10</v>
      </c>
      <c r="C155" s="116">
        <v>0.0030560372625818163</v>
      </c>
      <c r="D155" s="114" t="s">
        <v>2559</v>
      </c>
      <c r="E155" s="114" t="b">
        <v>0</v>
      </c>
      <c r="F155" s="114" t="b">
        <v>0</v>
      </c>
      <c r="G155" s="114" t="b">
        <v>0</v>
      </c>
    </row>
    <row r="156" spans="1:7" ht="15">
      <c r="A156" s="114" t="s">
        <v>1885</v>
      </c>
      <c r="B156" s="114">
        <v>10</v>
      </c>
      <c r="C156" s="116">
        <v>0.0017940483680840876</v>
      </c>
      <c r="D156" s="114" t="s">
        <v>2559</v>
      </c>
      <c r="E156" s="114" t="b">
        <v>0</v>
      </c>
      <c r="F156" s="114" t="b">
        <v>0</v>
      </c>
      <c r="G156" s="114" t="b">
        <v>0</v>
      </c>
    </row>
    <row r="157" spans="1:7" ht="15">
      <c r="A157" s="114" t="s">
        <v>1886</v>
      </c>
      <c r="B157" s="114">
        <v>9</v>
      </c>
      <c r="C157" s="116">
        <v>0.0017905796291898242</v>
      </c>
      <c r="D157" s="114" t="s">
        <v>2559</v>
      </c>
      <c r="E157" s="114" t="b">
        <v>0</v>
      </c>
      <c r="F157" s="114" t="b">
        <v>0</v>
      </c>
      <c r="G157" s="114" t="b">
        <v>0</v>
      </c>
    </row>
    <row r="158" spans="1:7" ht="15">
      <c r="A158" s="114" t="s">
        <v>1887</v>
      </c>
      <c r="B158" s="114">
        <v>9</v>
      </c>
      <c r="C158" s="116">
        <v>0.0016666144317105697</v>
      </c>
      <c r="D158" s="114" t="s">
        <v>2559</v>
      </c>
      <c r="E158" s="114" t="b">
        <v>0</v>
      </c>
      <c r="F158" s="114" t="b">
        <v>0</v>
      </c>
      <c r="G158" s="114" t="b">
        <v>0</v>
      </c>
    </row>
    <row r="159" spans="1:7" ht="15">
      <c r="A159" s="114" t="s">
        <v>1888</v>
      </c>
      <c r="B159" s="114">
        <v>9</v>
      </c>
      <c r="C159" s="116">
        <v>0.0017905796291898242</v>
      </c>
      <c r="D159" s="114" t="s">
        <v>2559</v>
      </c>
      <c r="E159" s="114" t="b">
        <v>0</v>
      </c>
      <c r="F159" s="114" t="b">
        <v>0</v>
      </c>
      <c r="G159" s="114" t="b">
        <v>0</v>
      </c>
    </row>
    <row r="160" spans="1:7" ht="15">
      <c r="A160" s="114" t="s">
        <v>1889</v>
      </c>
      <c r="B160" s="114">
        <v>9</v>
      </c>
      <c r="C160" s="116">
        <v>0.0017247129554392967</v>
      </c>
      <c r="D160" s="114" t="s">
        <v>2559</v>
      </c>
      <c r="E160" s="114" t="b">
        <v>0</v>
      </c>
      <c r="F160" s="114" t="b">
        <v>0</v>
      </c>
      <c r="G160" s="114" t="b">
        <v>0</v>
      </c>
    </row>
    <row r="161" spans="1:7" ht="15">
      <c r="A161" s="114" t="s">
        <v>1890</v>
      </c>
      <c r="B161" s="114">
        <v>9</v>
      </c>
      <c r="C161" s="116">
        <v>0.002208523984017102</v>
      </c>
      <c r="D161" s="114" t="s">
        <v>2559</v>
      </c>
      <c r="E161" s="114" t="b">
        <v>0</v>
      </c>
      <c r="F161" s="114" t="b">
        <v>0</v>
      </c>
      <c r="G161" s="114" t="b">
        <v>0</v>
      </c>
    </row>
    <row r="162" spans="1:7" ht="15">
      <c r="A162" s="114" t="s">
        <v>1891</v>
      </c>
      <c r="B162" s="114">
        <v>9</v>
      </c>
      <c r="C162" s="116">
        <v>0.0019565503915704584</v>
      </c>
      <c r="D162" s="114" t="s">
        <v>2559</v>
      </c>
      <c r="E162" s="114" t="b">
        <v>0</v>
      </c>
      <c r="F162" s="114" t="b">
        <v>0</v>
      </c>
      <c r="G162" s="114" t="b">
        <v>0</v>
      </c>
    </row>
    <row r="163" spans="1:7" ht="15">
      <c r="A163" s="114" t="s">
        <v>1892</v>
      </c>
      <c r="B163" s="114">
        <v>9</v>
      </c>
      <c r="C163" s="116">
        <v>0.0016666144317105697</v>
      </c>
      <c r="D163" s="114" t="s">
        <v>2559</v>
      </c>
      <c r="E163" s="114" t="b">
        <v>0</v>
      </c>
      <c r="F163" s="114" t="b">
        <v>0</v>
      </c>
      <c r="G163" s="114" t="b">
        <v>0</v>
      </c>
    </row>
    <row r="164" spans="1:7" ht="15">
      <c r="A164" s="114" t="s">
        <v>1893</v>
      </c>
      <c r="B164" s="114">
        <v>9</v>
      </c>
      <c r="C164" s="116">
        <v>0.0017247129554392967</v>
      </c>
      <c r="D164" s="114" t="s">
        <v>2559</v>
      </c>
      <c r="E164" s="114" t="b">
        <v>0</v>
      </c>
      <c r="F164" s="114" t="b">
        <v>0</v>
      </c>
      <c r="G164" s="114" t="b">
        <v>0</v>
      </c>
    </row>
    <row r="165" spans="1:7" ht="15">
      <c r="A165" s="114" t="s">
        <v>1894</v>
      </c>
      <c r="B165" s="114">
        <v>9</v>
      </c>
      <c r="C165" s="116">
        <v>0.0019565503915704584</v>
      </c>
      <c r="D165" s="114" t="s">
        <v>2559</v>
      </c>
      <c r="E165" s="114" t="b">
        <v>0</v>
      </c>
      <c r="F165" s="114" t="b">
        <v>0</v>
      </c>
      <c r="G165" s="114" t="b">
        <v>0</v>
      </c>
    </row>
    <row r="166" spans="1:7" ht="15">
      <c r="A166" s="114" t="s">
        <v>1895</v>
      </c>
      <c r="B166" s="114">
        <v>9</v>
      </c>
      <c r="C166" s="116">
        <v>0.0017905796291898242</v>
      </c>
      <c r="D166" s="114" t="s">
        <v>2559</v>
      </c>
      <c r="E166" s="114" t="b">
        <v>0</v>
      </c>
      <c r="F166" s="114" t="b">
        <v>0</v>
      </c>
      <c r="G166" s="114" t="b">
        <v>0</v>
      </c>
    </row>
    <row r="167" spans="1:7" ht="15">
      <c r="A167" s="114" t="s">
        <v>1896</v>
      </c>
      <c r="B167" s="114">
        <v>9</v>
      </c>
      <c r="C167" s="116">
        <v>0.0017905796291898242</v>
      </c>
      <c r="D167" s="114" t="s">
        <v>2559</v>
      </c>
      <c r="E167" s="114" t="b">
        <v>0</v>
      </c>
      <c r="F167" s="114" t="b">
        <v>0</v>
      </c>
      <c r="G167" s="114" t="b">
        <v>0</v>
      </c>
    </row>
    <row r="168" spans="1:7" ht="15">
      <c r="A168" s="114" t="s">
        <v>1897</v>
      </c>
      <c r="B168" s="114">
        <v>9</v>
      </c>
      <c r="C168" s="116">
        <v>0.0016666144317105697</v>
      </c>
      <c r="D168" s="114" t="s">
        <v>2559</v>
      </c>
      <c r="E168" s="114" t="b">
        <v>0</v>
      </c>
      <c r="F168" s="114" t="b">
        <v>0</v>
      </c>
      <c r="G168" s="114" t="b">
        <v>0</v>
      </c>
    </row>
    <row r="169" spans="1:7" ht="15">
      <c r="A169" s="114" t="s">
        <v>1898</v>
      </c>
      <c r="B169" s="114">
        <v>9</v>
      </c>
      <c r="C169" s="116">
        <v>0.002066619815734076</v>
      </c>
      <c r="D169" s="114" t="s">
        <v>2559</v>
      </c>
      <c r="E169" s="114" t="b">
        <v>0</v>
      </c>
      <c r="F169" s="114" t="b">
        <v>0</v>
      </c>
      <c r="G169" s="114" t="b">
        <v>0</v>
      </c>
    </row>
    <row r="170" spans="1:7" ht="15">
      <c r="A170" s="114" t="s">
        <v>1899</v>
      </c>
      <c r="B170" s="114">
        <v>9</v>
      </c>
      <c r="C170" s="116">
        <v>0.0019565503915704584</v>
      </c>
      <c r="D170" s="114" t="s">
        <v>2559</v>
      </c>
      <c r="E170" s="114" t="b">
        <v>0</v>
      </c>
      <c r="F170" s="114" t="b">
        <v>0</v>
      </c>
      <c r="G170" s="114" t="b">
        <v>0</v>
      </c>
    </row>
    <row r="171" spans="1:7" ht="15">
      <c r="A171" s="114" t="s">
        <v>1900</v>
      </c>
      <c r="B171" s="114">
        <v>9</v>
      </c>
      <c r="C171" s="116">
        <v>0.0016666144317105697</v>
      </c>
      <c r="D171" s="114" t="s">
        <v>2559</v>
      </c>
      <c r="E171" s="114" t="b">
        <v>0</v>
      </c>
      <c r="F171" s="114" t="b">
        <v>0</v>
      </c>
      <c r="G171" s="114" t="b">
        <v>0</v>
      </c>
    </row>
    <row r="172" spans="1:7" ht="15">
      <c r="A172" s="114" t="s">
        <v>1901</v>
      </c>
      <c r="B172" s="114">
        <v>9</v>
      </c>
      <c r="C172" s="116">
        <v>0.002066619815734076</v>
      </c>
      <c r="D172" s="114" t="s">
        <v>2559</v>
      </c>
      <c r="E172" s="114" t="b">
        <v>0</v>
      </c>
      <c r="F172" s="114" t="b">
        <v>0</v>
      </c>
      <c r="G172" s="114" t="b">
        <v>0</v>
      </c>
    </row>
    <row r="173" spans="1:7" ht="15">
      <c r="A173" s="114" t="s">
        <v>1902</v>
      </c>
      <c r="B173" s="114">
        <v>9</v>
      </c>
      <c r="C173" s="116">
        <v>0.0018666171237223229</v>
      </c>
      <c r="D173" s="114" t="s">
        <v>2559</v>
      </c>
      <c r="E173" s="114" t="b">
        <v>0</v>
      </c>
      <c r="F173" s="114" t="b">
        <v>0</v>
      </c>
      <c r="G173" s="114" t="b">
        <v>0</v>
      </c>
    </row>
    <row r="174" spans="1:7" ht="15">
      <c r="A174" s="114" t="s">
        <v>1903</v>
      </c>
      <c r="B174" s="114">
        <v>9</v>
      </c>
      <c r="C174" s="116">
        <v>0.002208523984017102</v>
      </c>
      <c r="D174" s="114" t="s">
        <v>2559</v>
      </c>
      <c r="E174" s="114" t="b">
        <v>0</v>
      </c>
      <c r="F174" s="114" t="b">
        <v>0</v>
      </c>
      <c r="G174" s="114" t="b">
        <v>0</v>
      </c>
    </row>
    <row r="175" spans="1:7" ht="15">
      <c r="A175" s="114" t="s">
        <v>1904</v>
      </c>
      <c r="B175" s="114">
        <v>9</v>
      </c>
      <c r="C175" s="116">
        <v>0.002208523984017102</v>
      </c>
      <c r="D175" s="114" t="s">
        <v>2559</v>
      </c>
      <c r="E175" s="114" t="b">
        <v>0</v>
      </c>
      <c r="F175" s="114" t="b">
        <v>0</v>
      </c>
      <c r="G175" s="114" t="b">
        <v>0</v>
      </c>
    </row>
    <row r="176" spans="1:7" ht="15">
      <c r="A176" s="114" t="s">
        <v>1905</v>
      </c>
      <c r="B176" s="114">
        <v>9</v>
      </c>
      <c r="C176" s="116">
        <v>0.0016666144317105697</v>
      </c>
      <c r="D176" s="114" t="s">
        <v>2559</v>
      </c>
      <c r="E176" s="114" t="b">
        <v>0</v>
      </c>
      <c r="F176" s="114" t="b">
        <v>0</v>
      </c>
      <c r="G176" s="114" t="b">
        <v>0</v>
      </c>
    </row>
    <row r="177" spans="1:7" ht="15">
      <c r="A177" s="114" t="s">
        <v>1906</v>
      </c>
      <c r="B177" s="114">
        <v>9</v>
      </c>
      <c r="C177" s="116">
        <v>0.0016666144317105697</v>
      </c>
      <c r="D177" s="114" t="s">
        <v>2559</v>
      </c>
      <c r="E177" s="114" t="b">
        <v>0</v>
      </c>
      <c r="F177" s="114" t="b">
        <v>0</v>
      </c>
      <c r="G177" s="114" t="b">
        <v>0</v>
      </c>
    </row>
    <row r="178" spans="1:7" ht="15">
      <c r="A178" s="114" t="s">
        <v>1907</v>
      </c>
      <c r="B178" s="114">
        <v>9</v>
      </c>
      <c r="C178" s="116">
        <v>0.002750433536323635</v>
      </c>
      <c r="D178" s="114" t="s">
        <v>2559</v>
      </c>
      <c r="E178" s="114" t="b">
        <v>0</v>
      </c>
      <c r="F178" s="114" t="b">
        <v>0</v>
      </c>
      <c r="G178" s="114" t="b">
        <v>0</v>
      </c>
    </row>
    <row r="179" spans="1:7" ht="15">
      <c r="A179" s="114" t="s">
        <v>1908</v>
      </c>
      <c r="B179" s="114">
        <v>9</v>
      </c>
      <c r="C179" s="116">
        <v>0.002750433536323635</v>
      </c>
      <c r="D179" s="114" t="s">
        <v>2559</v>
      </c>
      <c r="E179" s="114" t="b">
        <v>0</v>
      </c>
      <c r="F179" s="114" t="b">
        <v>0</v>
      </c>
      <c r="G179" s="114" t="b">
        <v>0</v>
      </c>
    </row>
    <row r="180" spans="1:7" ht="15">
      <c r="A180" s="114" t="s">
        <v>1909</v>
      </c>
      <c r="B180" s="114">
        <v>8</v>
      </c>
      <c r="C180" s="116">
        <v>0.0015330781826127082</v>
      </c>
      <c r="D180" s="114" t="s">
        <v>2559</v>
      </c>
      <c r="E180" s="114" t="b">
        <v>0</v>
      </c>
      <c r="F180" s="114" t="b">
        <v>0</v>
      </c>
      <c r="G180" s="114" t="b">
        <v>0</v>
      </c>
    </row>
    <row r="181" spans="1:7" ht="15">
      <c r="A181" s="114" t="s">
        <v>1910</v>
      </c>
      <c r="B181" s="114">
        <v>8</v>
      </c>
      <c r="C181" s="116">
        <v>0.0016592152210865093</v>
      </c>
      <c r="D181" s="114" t="s">
        <v>2559</v>
      </c>
      <c r="E181" s="114" t="b">
        <v>1</v>
      </c>
      <c r="F181" s="114" t="b">
        <v>0</v>
      </c>
      <c r="G181" s="114" t="b">
        <v>0</v>
      </c>
    </row>
    <row r="182" spans="1:7" ht="15">
      <c r="A182" s="114" t="s">
        <v>1911</v>
      </c>
      <c r="B182" s="114">
        <v>8</v>
      </c>
      <c r="C182" s="116">
        <v>0.001739155903618185</v>
      </c>
      <c r="D182" s="114" t="s">
        <v>2559</v>
      </c>
      <c r="E182" s="114" t="b">
        <v>0</v>
      </c>
      <c r="F182" s="114" t="b">
        <v>0</v>
      </c>
      <c r="G182" s="114" t="b">
        <v>0</v>
      </c>
    </row>
    <row r="183" spans="1:7" ht="15">
      <c r="A183" s="114" t="s">
        <v>1912</v>
      </c>
      <c r="B183" s="114">
        <v>8</v>
      </c>
      <c r="C183" s="116">
        <v>0.001739155903618185</v>
      </c>
      <c r="D183" s="114" t="s">
        <v>2559</v>
      </c>
      <c r="E183" s="114" t="b">
        <v>0</v>
      </c>
      <c r="F183" s="114" t="b">
        <v>0</v>
      </c>
      <c r="G183" s="114" t="b">
        <v>0</v>
      </c>
    </row>
    <row r="184" spans="1:7" ht="15">
      <c r="A184" s="114" t="s">
        <v>1913</v>
      </c>
      <c r="B184" s="114">
        <v>8</v>
      </c>
      <c r="C184" s="116">
        <v>0.0016592152210865093</v>
      </c>
      <c r="D184" s="114" t="s">
        <v>2559</v>
      </c>
      <c r="E184" s="114" t="b">
        <v>0</v>
      </c>
      <c r="F184" s="114" t="b">
        <v>0</v>
      </c>
      <c r="G184" s="114" t="b">
        <v>0</v>
      </c>
    </row>
    <row r="185" spans="1:7" ht="15">
      <c r="A185" s="114" t="s">
        <v>1914</v>
      </c>
      <c r="B185" s="114">
        <v>8</v>
      </c>
      <c r="C185" s="116">
        <v>0.002140912600914538</v>
      </c>
      <c r="D185" s="114" t="s">
        <v>2559</v>
      </c>
      <c r="E185" s="114" t="b">
        <v>0</v>
      </c>
      <c r="F185" s="114" t="b">
        <v>0</v>
      </c>
      <c r="G185" s="114" t="b">
        <v>0</v>
      </c>
    </row>
    <row r="186" spans="1:7" ht="15">
      <c r="A186" s="114" t="s">
        <v>1915</v>
      </c>
      <c r="B186" s="114">
        <v>8</v>
      </c>
      <c r="C186" s="116">
        <v>0.0018369953917636232</v>
      </c>
      <c r="D186" s="114" t="s">
        <v>2559</v>
      </c>
      <c r="E186" s="114" t="b">
        <v>0</v>
      </c>
      <c r="F186" s="114" t="b">
        <v>0</v>
      </c>
      <c r="G186" s="114" t="b">
        <v>0</v>
      </c>
    </row>
    <row r="187" spans="1:7" ht="15">
      <c r="A187" s="114" t="s">
        <v>1916</v>
      </c>
      <c r="B187" s="114">
        <v>8</v>
      </c>
      <c r="C187" s="116">
        <v>0.0016592152210865093</v>
      </c>
      <c r="D187" s="114" t="s">
        <v>2559</v>
      </c>
      <c r="E187" s="114" t="b">
        <v>0</v>
      </c>
      <c r="F187" s="114" t="b">
        <v>0</v>
      </c>
      <c r="G187" s="114" t="b">
        <v>0</v>
      </c>
    </row>
    <row r="188" spans="1:7" ht="15">
      <c r="A188" s="114" t="s">
        <v>1917</v>
      </c>
      <c r="B188" s="114">
        <v>8</v>
      </c>
      <c r="C188" s="116">
        <v>0.0016592152210865093</v>
      </c>
      <c r="D188" s="114" t="s">
        <v>2559</v>
      </c>
      <c r="E188" s="114" t="b">
        <v>0</v>
      </c>
      <c r="F188" s="114" t="b">
        <v>0</v>
      </c>
      <c r="G188" s="114" t="b">
        <v>0</v>
      </c>
    </row>
    <row r="189" spans="1:7" ht="15">
      <c r="A189" s="114" t="s">
        <v>1918</v>
      </c>
      <c r="B189" s="114">
        <v>8</v>
      </c>
      <c r="C189" s="116">
        <v>0.0016592152210865093</v>
      </c>
      <c r="D189" s="114" t="s">
        <v>2559</v>
      </c>
      <c r="E189" s="114" t="b">
        <v>0</v>
      </c>
      <c r="F189" s="114" t="b">
        <v>0</v>
      </c>
      <c r="G189" s="114" t="b">
        <v>0</v>
      </c>
    </row>
    <row r="190" spans="1:7" ht="15">
      <c r="A190" s="114" t="s">
        <v>1919</v>
      </c>
      <c r="B190" s="114">
        <v>8</v>
      </c>
      <c r="C190" s="116">
        <v>0.0016592152210865093</v>
      </c>
      <c r="D190" s="114" t="s">
        <v>2559</v>
      </c>
      <c r="E190" s="114" t="b">
        <v>0</v>
      </c>
      <c r="F190" s="114" t="b">
        <v>0</v>
      </c>
      <c r="G190" s="114" t="b">
        <v>0</v>
      </c>
    </row>
    <row r="191" spans="1:7" ht="15">
      <c r="A191" s="114" t="s">
        <v>1920</v>
      </c>
      <c r="B191" s="114">
        <v>8</v>
      </c>
      <c r="C191" s="116">
        <v>0.001963132430237424</v>
      </c>
      <c r="D191" s="114" t="s">
        <v>2559</v>
      </c>
      <c r="E191" s="114" t="b">
        <v>0</v>
      </c>
      <c r="F191" s="114" t="b">
        <v>0</v>
      </c>
      <c r="G191" s="114" t="b">
        <v>0</v>
      </c>
    </row>
    <row r="192" spans="1:7" ht="15">
      <c r="A192" s="114" t="s">
        <v>1921</v>
      </c>
      <c r="B192" s="114">
        <v>8</v>
      </c>
      <c r="C192" s="116">
        <v>0.0015330781826127082</v>
      </c>
      <c r="D192" s="114" t="s">
        <v>2559</v>
      </c>
      <c r="E192" s="114" t="b">
        <v>0</v>
      </c>
      <c r="F192" s="114" t="b">
        <v>0</v>
      </c>
      <c r="G192" s="114" t="b">
        <v>0</v>
      </c>
    </row>
    <row r="193" spans="1:7" ht="15">
      <c r="A193" s="114" t="s">
        <v>1922</v>
      </c>
      <c r="B193" s="114">
        <v>8</v>
      </c>
      <c r="C193" s="116">
        <v>0.0015330781826127082</v>
      </c>
      <c r="D193" s="114" t="s">
        <v>2559</v>
      </c>
      <c r="E193" s="114" t="b">
        <v>0</v>
      </c>
      <c r="F193" s="114" t="b">
        <v>0</v>
      </c>
      <c r="G193" s="114" t="b">
        <v>0</v>
      </c>
    </row>
    <row r="194" spans="1:7" ht="15">
      <c r="A194" s="114" t="s">
        <v>1923</v>
      </c>
      <c r="B194" s="114">
        <v>8</v>
      </c>
      <c r="C194" s="116">
        <v>0.0015330781826127082</v>
      </c>
      <c r="D194" s="114" t="s">
        <v>2559</v>
      </c>
      <c r="E194" s="114" t="b">
        <v>0</v>
      </c>
      <c r="F194" s="114" t="b">
        <v>0</v>
      </c>
      <c r="G194" s="114" t="b">
        <v>0</v>
      </c>
    </row>
    <row r="195" spans="1:7" ht="15">
      <c r="A195" s="114" t="s">
        <v>1924</v>
      </c>
      <c r="B195" s="114">
        <v>8</v>
      </c>
      <c r="C195" s="116">
        <v>0.001963132430237424</v>
      </c>
      <c r="D195" s="114" t="s">
        <v>2559</v>
      </c>
      <c r="E195" s="114" t="b">
        <v>0</v>
      </c>
      <c r="F195" s="114" t="b">
        <v>0</v>
      </c>
      <c r="G195" s="114" t="b">
        <v>0</v>
      </c>
    </row>
    <row r="196" spans="1:7" ht="15">
      <c r="A196" s="114" t="s">
        <v>1925</v>
      </c>
      <c r="B196" s="114">
        <v>8</v>
      </c>
      <c r="C196" s="116">
        <v>0.002140912600914538</v>
      </c>
      <c r="D196" s="114" t="s">
        <v>2559</v>
      </c>
      <c r="E196" s="114" t="b">
        <v>0</v>
      </c>
      <c r="F196" s="114" t="b">
        <v>0</v>
      </c>
      <c r="G196" s="114" t="b">
        <v>0</v>
      </c>
    </row>
    <row r="197" spans="1:7" ht="15">
      <c r="A197" s="114" t="s">
        <v>1926</v>
      </c>
      <c r="B197" s="114">
        <v>8</v>
      </c>
      <c r="C197" s="116">
        <v>0.002140912600914538</v>
      </c>
      <c r="D197" s="114" t="s">
        <v>2559</v>
      </c>
      <c r="E197" s="114" t="b">
        <v>0</v>
      </c>
      <c r="F197" s="114" t="b">
        <v>0</v>
      </c>
      <c r="G197" s="114" t="b">
        <v>0</v>
      </c>
    </row>
    <row r="198" spans="1:7" ht="15">
      <c r="A198" s="114" t="s">
        <v>1927</v>
      </c>
      <c r="B198" s="114">
        <v>8</v>
      </c>
      <c r="C198" s="116">
        <v>0.002140912600914538</v>
      </c>
      <c r="D198" s="114" t="s">
        <v>2559</v>
      </c>
      <c r="E198" s="114" t="b">
        <v>0</v>
      </c>
      <c r="F198" s="114" t="b">
        <v>0</v>
      </c>
      <c r="G198" s="114" t="b">
        <v>0</v>
      </c>
    </row>
    <row r="199" spans="1:7" ht="15">
      <c r="A199" s="114" t="s">
        <v>1928</v>
      </c>
      <c r="B199" s="114">
        <v>8</v>
      </c>
      <c r="C199" s="116">
        <v>0.002140912600914538</v>
      </c>
      <c r="D199" s="114" t="s">
        <v>2559</v>
      </c>
      <c r="E199" s="114" t="b">
        <v>0</v>
      </c>
      <c r="F199" s="114" t="b">
        <v>0</v>
      </c>
      <c r="G199" s="114" t="b">
        <v>0</v>
      </c>
    </row>
    <row r="200" spans="1:7" ht="15">
      <c r="A200" s="114" t="s">
        <v>1929</v>
      </c>
      <c r="B200" s="114">
        <v>8</v>
      </c>
      <c r="C200" s="116">
        <v>0.002444829810065453</v>
      </c>
      <c r="D200" s="114" t="s">
        <v>2559</v>
      </c>
      <c r="E200" s="114" t="b">
        <v>0</v>
      </c>
      <c r="F200" s="114" t="b">
        <v>1</v>
      </c>
      <c r="G200" s="114" t="b">
        <v>0</v>
      </c>
    </row>
    <row r="201" spans="1:7" ht="15">
      <c r="A201" s="114" t="s">
        <v>1930</v>
      </c>
      <c r="B201" s="114">
        <v>8</v>
      </c>
      <c r="C201" s="116">
        <v>0.0015330781826127082</v>
      </c>
      <c r="D201" s="114" t="s">
        <v>2559</v>
      </c>
      <c r="E201" s="114" t="b">
        <v>0</v>
      </c>
      <c r="F201" s="114" t="b">
        <v>0</v>
      </c>
      <c r="G201" s="114" t="b">
        <v>0</v>
      </c>
    </row>
    <row r="202" spans="1:7" ht="15">
      <c r="A202" s="114" t="s">
        <v>1931</v>
      </c>
      <c r="B202" s="114">
        <v>8</v>
      </c>
      <c r="C202" s="116">
        <v>0.0015330781826127082</v>
      </c>
      <c r="D202" s="114" t="s">
        <v>2559</v>
      </c>
      <c r="E202" s="114" t="b">
        <v>0</v>
      </c>
      <c r="F202" s="114" t="b">
        <v>0</v>
      </c>
      <c r="G202" s="114" t="b">
        <v>0</v>
      </c>
    </row>
    <row r="203" spans="1:7" ht="15">
      <c r="A203" s="114" t="s">
        <v>1932</v>
      </c>
      <c r="B203" s="114">
        <v>8</v>
      </c>
      <c r="C203" s="116">
        <v>0.0015330781826127082</v>
      </c>
      <c r="D203" s="114" t="s">
        <v>2559</v>
      </c>
      <c r="E203" s="114" t="b">
        <v>0</v>
      </c>
      <c r="F203" s="114" t="b">
        <v>0</v>
      </c>
      <c r="G203" s="114" t="b">
        <v>0</v>
      </c>
    </row>
    <row r="204" spans="1:7" ht="15">
      <c r="A204" s="114" t="s">
        <v>1933</v>
      </c>
      <c r="B204" s="114">
        <v>7</v>
      </c>
      <c r="C204" s="116">
        <v>0.0014518133184506956</v>
      </c>
      <c r="D204" s="114" t="s">
        <v>2559</v>
      </c>
      <c r="E204" s="114" t="b">
        <v>0</v>
      </c>
      <c r="F204" s="114" t="b">
        <v>0</v>
      </c>
      <c r="G204" s="114" t="b">
        <v>0</v>
      </c>
    </row>
    <row r="205" spans="1:7" ht="15">
      <c r="A205" s="114" t="s">
        <v>1934</v>
      </c>
      <c r="B205" s="114">
        <v>7</v>
      </c>
      <c r="C205" s="116">
        <v>0.001521761415665912</v>
      </c>
      <c r="D205" s="114" t="s">
        <v>2559</v>
      </c>
      <c r="E205" s="114" t="b">
        <v>0</v>
      </c>
      <c r="F205" s="114" t="b">
        <v>0</v>
      </c>
      <c r="G205" s="114" t="b">
        <v>0</v>
      </c>
    </row>
    <row r="206" spans="1:7" ht="15">
      <c r="A206" s="114" t="s">
        <v>1935</v>
      </c>
      <c r="B206" s="114">
        <v>7</v>
      </c>
      <c r="C206" s="116">
        <v>0.0013926730449254187</v>
      </c>
      <c r="D206" s="114" t="s">
        <v>2559</v>
      </c>
      <c r="E206" s="114" t="b">
        <v>0</v>
      </c>
      <c r="F206" s="114" t="b">
        <v>0</v>
      </c>
      <c r="G206" s="114" t="b">
        <v>0</v>
      </c>
    </row>
    <row r="207" spans="1:7" ht="15">
      <c r="A207" s="114" t="s">
        <v>1936</v>
      </c>
      <c r="B207" s="114">
        <v>7</v>
      </c>
      <c r="C207" s="116">
        <v>0.0021392260838072716</v>
      </c>
      <c r="D207" s="114" t="s">
        <v>2559</v>
      </c>
      <c r="E207" s="114" t="b">
        <v>0</v>
      </c>
      <c r="F207" s="114" t="b">
        <v>0</v>
      </c>
      <c r="G207" s="114" t="b">
        <v>0</v>
      </c>
    </row>
    <row r="208" spans="1:7" ht="15">
      <c r="A208" s="114" t="s">
        <v>1937</v>
      </c>
      <c r="B208" s="114">
        <v>7</v>
      </c>
      <c r="C208" s="116">
        <v>0.0018732985258002209</v>
      </c>
      <c r="D208" s="114" t="s">
        <v>2559</v>
      </c>
      <c r="E208" s="114" t="b">
        <v>0</v>
      </c>
      <c r="F208" s="114" t="b">
        <v>0</v>
      </c>
      <c r="G208" s="114" t="b">
        <v>0</v>
      </c>
    </row>
    <row r="209" spans="1:7" ht="15">
      <c r="A209" s="114" t="s">
        <v>1938</v>
      </c>
      <c r="B209" s="114">
        <v>7</v>
      </c>
      <c r="C209" s="116">
        <v>0.0014518133184506956</v>
      </c>
      <c r="D209" s="114" t="s">
        <v>2559</v>
      </c>
      <c r="E209" s="114" t="b">
        <v>0</v>
      </c>
      <c r="F209" s="114" t="b">
        <v>0</v>
      </c>
      <c r="G209" s="114" t="b">
        <v>0</v>
      </c>
    </row>
    <row r="210" spans="1:7" ht="15">
      <c r="A210" s="114" t="s">
        <v>1939</v>
      </c>
      <c r="B210" s="114">
        <v>7</v>
      </c>
      <c r="C210" s="116">
        <v>0.0013926730449254187</v>
      </c>
      <c r="D210" s="114" t="s">
        <v>2559</v>
      </c>
      <c r="E210" s="114" t="b">
        <v>1</v>
      </c>
      <c r="F210" s="114" t="b">
        <v>0</v>
      </c>
      <c r="G210" s="114" t="b">
        <v>0</v>
      </c>
    </row>
    <row r="211" spans="1:7" ht="15">
      <c r="A211" s="114" t="s">
        <v>1940</v>
      </c>
      <c r="B211" s="114">
        <v>7</v>
      </c>
      <c r="C211" s="116">
        <v>0.0018732985258002209</v>
      </c>
      <c r="D211" s="114" t="s">
        <v>2559</v>
      </c>
      <c r="E211" s="114" t="b">
        <v>0</v>
      </c>
      <c r="F211" s="114" t="b">
        <v>0</v>
      </c>
      <c r="G211" s="114" t="b">
        <v>0</v>
      </c>
    </row>
    <row r="212" spans="1:7" ht="15">
      <c r="A212" s="114" t="s">
        <v>1941</v>
      </c>
      <c r="B212" s="114">
        <v>7</v>
      </c>
      <c r="C212" s="116">
        <v>0.0021392260838072716</v>
      </c>
      <c r="D212" s="114" t="s">
        <v>2559</v>
      </c>
      <c r="E212" s="114" t="b">
        <v>0</v>
      </c>
      <c r="F212" s="114" t="b">
        <v>0</v>
      </c>
      <c r="G212" s="114" t="b">
        <v>0</v>
      </c>
    </row>
    <row r="213" spans="1:7" ht="15">
      <c r="A213" s="114" t="s">
        <v>1942</v>
      </c>
      <c r="B213" s="114">
        <v>7</v>
      </c>
      <c r="C213" s="116">
        <v>0.0016073709677931704</v>
      </c>
      <c r="D213" s="114" t="s">
        <v>2559</v>
      </c>
      <c r="E213" s="114" t="b">
        <v>0</v>
      </c>
      <c r="F213" s="114" t="b">
        <v>0</v>
      </c>
      <c r="G213" s="114" t="b">
        <v>0</v>
      </c>
    </row>
    <row r="214" spans="1:7" ht="15">
      <c r="A214" s="114" t="s">
        <v>1943</v>
      </c>
      <c r="B214" s="114">
        <v>7</v>
      </c>
      <c r="C214" s="116">
        <v>0.0013926730449254187</v>
      </c>
      <c r="D214" s="114" t="s">
        <v>2559</v>
      </c>
      <c r="E214" s="114" t="b">
        <v>0</v>
      </c>
      <c r="F214" s="114" t="b">
        <v>0</v>
      </c>
      <c r="G214" s="114" t="b">
        <v>0</v>
      </c>
    </row>
    <row r="215" spans="1:7" ht="15">
      <c r="A215" s="114" t="s">
        <v>1944</v>
      </c>
      <c r="B215" s="114">
        <v>7</v>
      </c>
      <c r="C215" s="116">
        <v>0.0016073709677931704</v>
      </c>
      <c r="D215" s="114" t="s">
        <v>2559</v>
      </c>
      <c r="E215" s="114" t="b">
        <v>0</v>
      </c>
      <c r="F215" s="114" t="b">
        <v>0</v>
      </c>
      <c r="G215" s="114" t="b">
        <v>0</v>
      </c>
    </row>
    <row r="216" spans="1:7" ht="15">
      <c r="A216" s="114" t="s">
        <v>1945</v>
      </c>
      <c r="B216" s="114">
        <v>7</v>
      </c>
      <c r="C216" s="116">
        <v>0.0017177408764577462</v>
      </c>
      <c r="D216" s="114" t="s">
        <v>2559</v>
      </c>
      <c r="E216" s="114" t="b">
        <v>0</v>
      </c>
      <c r="F216" s="114" t="b">
        <v>0</v>
      </c>
      <c r="G216" s="114" t="b">
        <v>0</v>
      </c>
    </row>
    <row r="217" spans="1:7" ht="15">
      <c r="A217" s="114" t="s">
        <v>1946</v>
      </c>
      <c r="B217" s="114">
        <v>7</v>
      </c>
      <c r="C217" s="116">
        <v>0.001521761415665912</v>
      </c>
      <c r="D217" s="114" t="s">
        <v>2559</v>
      </c>
      <c r="E217" s="114" t="b">
        <v>0</v>
      </c>
      <c r="F217" s="114" t="b">
        <v>0</v>
      </c>
      <c r="G217" s="114" t="b">
        <v>0</v>
      </c>
    </row>
    <row r="218" spans="1:7" ht="15">
      <c r="A218" s="114" t="s">
        <v>1947</v>
      </c>
      <c r="B218" s="114">
        <v>7</v>
      </c>
      <c r="C218" s="116">
        <v>0.001521761415665912</v>
      </c>
      <c r="D218" s="114" t="s">
        <v>2559</v>
      </c>
      <c r="E218" s="114" t="b">
        <v>0</v>
      </c>
      <c r="F218" s="114" t="b">
        <v>0</v>
      </c>
      <c r="G218" s="114" t="b">
        <v>0</v>
      </c>
    </row>
    <row r="219" spans="1:7" ht="15">
      <c r="A219" s="114" t="s">
        <v>1948</v>
      </c>
      <c r="B219" s="114">
        <v>7</v>
      </c>
      <c r="C219" s="116">
        <v>0.0017177408764577462</v>
      </c>
      <c r="D219" s="114" t="s">
        <v>2559</v>
      </c>
      <c r="E219" s="114" t="b">
        <v>0</v>
      </c>
      <c r="F219" s="114" t="b">
        <v>0</v>
      </c>
      <c r="G219" s="114" t="b">
        <v>0</v>
      </c>
    </row>
    <row r="220" spans="1:7" ht="15">
      <c r="A220" s="114" t="s">
        <v>1949</v>
      </c>
      <c r="B220" s="114">
        <v>7</v>
      </c>
      <c r="C220" s="116">
        <v>0.0018732985258002209</v>
      </c>
      <c r="D220" s="114" t="s">
        <v>2559</v>
      </c>
      <c r="E220" s="114" t="b">
        <v>0</v>
      </c>
      <c r="F220" s="114" t="b">
        <v>0</v>
      </c>
      <c r="G220" s="114" t="b">
        <v>0</v>
      </c>
    </row>
    <row r="221" spans="1:7" ht="15">
      <c r="A221" s="114" t="s">
        <v>1950</v>
      </c>
      <c r="B221" s="114">
        <v>7</v>
      </c>
      <c r="C221" s="116">
        <v>0.0016073709677931704</v>
      </c>
      <c r="D221" s="114" t="s">
        <v>2559</v>
      </c>
      <c r="E221" s="114" t="b">
        <v>0</v>
      </c>
      <c r="F221" s="114" t="b">
        <v>0</v>
      </c>
      <c r="G221" s="114" t="b">
        <v>0</v>
      </c>
    </row>
    <row r="222" spans="1:7" ht="15">
      <c r="A222" s="114" t="s">
        <v>1951</v>
      </c>
      <c r="B222" s="114">
        <v>7</v>
      </c>
      <c r="C222" s="116">
        <v>0.0021392260838072716</v>
      </c>
      <c r="D222" s="114" t="s">
        <v>2559</v>
      </c>
      <c r="E222" s="114" t="b">
        <v>0</v>
      </c>
      <c r="F222" s="114" t="b">
        <v>0</v>
      </c>
      <c r="G222" s="114" t="b">
        <v>0</v>
      </c>
    </row>
    <row r="223" spans="1:7" ht="15">
      <c r="A223" s="114" t="s">
        <v>1952</v>
      </c>
      <c r="B223" s="114">
        <v>7</v>
      </c>
      <c r="C223" s="116">
        <v>0.0016073709677931704</v>
      </c>
      <c r="D223" s="114" t="s">
        <v>2559</v>
      </c>
      <c r="E223" s="114" t="b">
        <v>0</v>
      </c>
      <c r="F223" s="114" t="b">
        <v>0</v>
      </c>
      <c r="G223" s="114" t="b">
        <v>0</v>
      </c>
    </row>
    <row r="224" spans="1:7" ht="15">
      <c r="A224" s="114" t="s">
        <v>1953</v>
      </c>
      <c r="B224" s="114">
        <v>7</v>
      </c>
      <c r="C224" s="116">
        <v>0.0021392260838072716</v>
      </c>
      <c r="D224" s="114" t="s">
        <v>2559</v>
      </c>
      <c r="E224" s="114" t="b">
        <v>0</v>
      </c>
      <c r="F224" s="114" t="b">
        <v>0</v>
      </c>
      <c r="G224" s="114" t="b">
        <v>0</v>
      </c>
    </row>
    <row r="225" spans="1:7" ht="15">
      <c r="A225" s="114" t="s">
        <v>1954</v>
      </c>
      <c r="B225" s="114">
        <v>6</v>
      </c>
      <c r="C225" s="116">
        <v>0.0012444114158148818</v>
      </c>
      <c r="D225" s="114" t="s">
        <v>2559</v>
      </c>
      <c r="E225" s="114" t="b">
        <v>0</v>
      </c>
      <c r="F225" s="114" t="b">
        <v>0</v>
      </c>
      <c r="G225" s="114" t="b">
        <v>0</v>
      </c>
    </row>
    <row r="226" spans="1:7" ht="15">
      <c r="A226" s="114" t="s">
        <v>1955</v>
      </c>
      <c r="B226" s="114">
        <v>6</v>
      </c>
      <c r="C226" s="116">
        <v>0.0012444114158148818</v>
      </c>
      <c r="D226" s="114" t="s">
        <v>2559</v>
      </c>
      <c r="E226" s="114" t="b">
        <v>0</v>
      </c>
      <c r="F226" s="114" t="b">
        <v>0</v>
      </c>
      <c r="G226" s="114" t="b">
        <v>0</v>
      </c>
    </row>
    <row r="227" spans="1:7" ht="15">
      <c r="A227" s="114" t="s">
        <v>1956</v>
      </c>
      <c r="B227" s="114">
        <v>6</v>
      </c>
      <c r="C227" s="116">
        <v>0.0012444114158148818</v>
      </c>
      <c r="D227" s="114" t="s">
        <v>2559</v>
      </c>
      <c r="E227" s="114" t="b">
        <v>0</v>
      </c>
      <c r="F227" s="114" t="b">
        <v>0</v>
      </c>
      <c r="G227" s="114" t="b">
        <v>0</v>
      </c>
    </row>
    <row r="228" spans="1:7" ht="15">
      <c r="A228" s="114" t="s">
        <v>1957</v>
      </c>
      <c r="B228" s="114">
        <v>6</v>
      </c>
      <c r="C228" s="116">
        <v>0.0012444114158148818</v>
      </c>
      <c r="D228" s="114" t="s">
        <v>2559</v>
      </c>
      <c r="E228" s="114" t="b">
        <v>0</v>
      </c>
      <c r="F228" s="114" t="b">
        <v>0</v>
      </c>
      <c r="G228" s="114" t="b">
        <v>0</v>
      </c>
    </row>
    <row r="229" spans="1:7" ht="15">
      <c r="A229" s="114" t="s">
        <v>1958</v>
      </c>
      <c r="B229" s="114">
        <v>6</v>
      </c>
      <c r="C229" s="116">
        <v>0.0012444114158148818</v>
      </c>
      <c r="D229" s="114" t="s">
        <v>2559</v>
      </c>
      <c r="E229" s="114" t="b">
        <v>0</v>
      </c>
      <c r="F229" s="114" t="b">
        <v>0</v>
      </c>
      <c r="G229" s="114" t="b">
        <v>0</v>
      </c>
    </row>
    <row r="230" spans="1:7" ht="15">
      <c r="A230" s="114" t="s">
        <v>1959</v>
      </c>
      <c r="B230" s="114">
        <v>6</v>
      </c>
      <c r="C230" s="116">
        <v>0.0013777465438227173</v>
      </c>
      <c r="D230" s="114" t="s">
        <v>2559</v>
      </c>
      <c r="E230" s="114" t="b">
        <v>0</v>
      </c>
      <c r="F230" s="114" t="b">
        <v>0</v>
      </c>
      <c r="G230" s="114" t="b">
        <v>0</v>
      </c>
    </row>
    <row r="231" spans="1:7" ht="15">
      <c r="A231" s="114" t="s">
        <v>1960</v>
      </c>
      <c r="B231" s="114">
        <v>6</v>
      </c>
      <c r="C231" s="116">
        <v>0.0013043669277136387</v>
      </c>
      <c r="D231" s="114" t="s">
        <v>2559</v>
      </c>
      <c r="E231" s="114" t="b">
        <v>0</v>
      </c>
      <c r="F231" s="114" t="b">
        <v>1</v>
      </c>
      <c r="G231" s="114" t="b">
        <v>0</v>
      </c>
    </row>
    <row r="232" spans="1:7" ht="15">
      <c r="A232" s="114" t="s">
        <v>1961</v>
      </c>
      <c r="B232" s="114">
        <v>6</v>
      </c>
      <c r="C232" s="116">
        <v>0.0016056844506859035</v>
      </c>
      <c r="D232" s="114" t="s">
        <v>2559</v>
      </c>
      <c r="E232" s="114" t="b">
        <v>0</v>
      </c>
      <c r="F232" s="114" t="b">
        <v>0</v>
      </c>
      <c r="G232" s="114" t="b">
        <v>0</v>
      </c>
    </row>
    <row r="233" spans="1:7" ht="15">
      <c r="A233" s="114" t="s">
        <v>1962</v>
      </c>
      <c r="B233" s="114">
        <v>6</v>
      </c>
      <c r="C233" s="116">
        <v>0.0013043669277136387</v>
      </c>
      <c r="D233" s="114" t="s">
        <v>2559</v>
      </c>
      <c r="E233" s="114" t="b">
        <v>0</v>
      </c>
      <c r="F233" s="114" t="b">
        <v>0</v>
      </c>
      <c r="G233" s="114" t="b">
        <v>0</v>
      </c>
    </row>
    <row r="234" spans="1:7" ht="15">
      <c r="A234" s="114" t="s">
        <v>1963</v>
      </c>
      <c r="B234" s="114">
        <v>6</v>
      </c>
      <c r="C234" s="116">
        <v>0.0016056844506859035</v>
      </c>
      <c r="D234" s="114" t="s">
        <v>2559</v>
      </c>
      <c r="E234" s="114" t="b">
        <v>0</v>
      </c>
      <c r="F234" s="114" t="b">
        <v>0</v>
      </c>
      <c r="G234" s="114" t="b">
        <v>0</v>
      </c>
    </row>
    <row r="235" spans="1:7" ht="15">
      <c r="A235" s="114" t="s">
        <v>1964</v>
      </c>
      <c r="B235" s="114">
        <v>6</v>
      </c>
      <c r="C235" s="116">
        <v>0.0013777465438227173</v>
      </c>
      <c r="D235" s="114" t="s">
        <v>2559</v>
      </c>
      <c r="E235" s="114" t="b">
        <v>0</v>
      </c>
      <c r="F235" s="114" t="b">
        <v>0</v>
      </c>
      <c r="G235" s="114" t="b">
        <v>0</v>
      </c>
    </row>
    <row r="236" spans="1:7" ht="15">
      <c r="A236" s="114" t="s">
        <v>1965</v>
      </c>
      <c r="B236" s="114">
        <v>6</v>
      </c>
      <c r="C236" s="116">
        <v>0.0013777465438227173</v>
      </c>
      <c r="D236" s="114" t="s">
        <v>2559</v>
      </c>
      <c r="E236" s="114" t="b">
        <v>1</v>
      </c>
      <c r="F236" s="114" t="b">
        <v>0</v>
      </c>
      <c r="G236" s="114" t="b">
        <v>0</v>
      </c>
    </row>
    <row r="237" spans="1:7" ht="15">
      <c r="A237" s="114" t="s">
        <v>1966</v>
      </c>
      <c r="B237" s="114">
        <v>6</v>
      </c>
      <c r="C237" s="116">
        <v>0.0013777465438227173</v>
      </c>
      <c r="D237" s="114" t="s">
        <v>2559</v>
      </c>
      <c r="E237" s="114" t="b">
        <v>0</v>
      </c>
      <c r="F237" s="114" t="b">
        <v>0</v>
      </c>
      <c r="G237" s="114" t="b">
        <v>0</v>
      </c>
    </row>
    <row r="238" spans="1:7" ht="15">
      <c r="A238" s="114" t="s">
        <v>1967</v>
      </c>
      <c r="B238" s="114">
        <v>6</v>
      </c>
      <c r="C238" s="116">
        <v>0.0013043669277136387</v>
      </c>
      <c r="D238" s="114" t="s">
        <v>2559</v>
      </c>
      <c r="E238" s="114" t="b">
        <v>0</v>
      </c>
      <c r="F238" s="114" t="b">
        <v>0</v>
      </c>
      <c r="G238" s="114" t="b">
        <v>0</v>
      </c>
    </row>
    <row r="239" spans="1:7" ht="15">
      <c r="A239" s="114" t="s">
        <v>1968</v>
      </c>
      <c r="B239" s="114">
        <v>6</v>
      </c>
      <c r="C239" s="116">
        <v>0.0012444114158148818</v>
      </c>
      <c r="D239" s="114" t="s">
        <v>2559</v>
      </c>
      <c r="E239" s="114" t="b">
        <v>0</v>
      </c>
      <c r="F239" s="114" t="b">
        <v>0</v>
      </c>
      <c r="G239" s="114" t="b">
        <v>0</v>
      </c>
    </row>
    <row r="240" spans="1:7" ht="15">
      <c r="A240" s="114" t="s">
        <v>1969</v>
      </c>
      <c r="B240" s="114">
        <v>6</v>
      </c>
      <c r="C240" s="116">
        <v>0.001472349322678068</v>
      </c>
      <c r="D240" s="114" t="s">
        <v>2559</v>
      </c>
      <c r="E240" s="114" t="b">
        <v>0</v>
      </c>
      <c r="F240" s="114" t="b">
        <v>1</v>
      </c>
      <c r="G240" s="114" t="b">
        <v>0</v>
      </c>
    </row>
    <row r="241" spans="1:7" ht="15">
      <c r="A241" s="114" t="s">
        <v>1970</v>
      </c>
      <c r="B241" s="114">
        <v>6</v>
      </c>
      <c r="C241" s="116">
        <v>0.0016056844506859035</v>
      </c>
      <c r="D241" s="114" t="s">
        <v>2559</v>
      </c>
      <c r="E241" s="114" t="b">
        <v>0</v>
      </c>
      <c r="F241" s="114" t="b">
        <v>0</v>
      </c>
      <c r="G241" s="114" t="b">
        <v>0</v>
      </c>
    </row>
    <row r="242" spans="1:7" ht="15">
      <c r="A242" s="114" t="s">
        <v>1971</v>
      </c>
      <c r="B242" s="114">
        <v>6</v>
      </c>
      <c r="C242" s="116">
        <v>0.0013043669277136387</v>
      </c>
      <c r="D242" s="114" t="s">
        <v>2559</v>
      </c>
      <c r="E242" s="114" t="b">
        <v>0</v>
      </c>
      <c r="F242" s="114" t="b">
        <v>0</v>
      </c>
      <c r="G242" s="114" t="b">
        <v>0</v>
      </c>
    </row>
    <row r="243" spans="1:7" ht="15">
      <c r="A243" s="114" t="s">
        <v>1972</v>
      </c>
      <c r="B243" s="114">
        <v>6</v>
      </c>
      <c r="C243" s="116">
        <v>0.0013777465438227173</v>
      </c>
      <c r="D243" s="114" t="s">
        <v>2559</v>
      </c>
      <c r="E243" s="114" t="b">
        <v>0</v>
      </c>
      <c r="F243" s="114" t="b">
        <v>0</v>
      </c>
      <c r="G243" s="114" t="b">
        <v>0</v>
      </c>
    </row>
    <row r="244" spans="1:7" ht="15">
      <c r="A244" s="114" t="s">
        <v>1973</v>
      </c>
      <c r="B244" s="114">
        <v>6</v>
      </c>
      <c r="C244" s="116">
        <v>0.001472349322678068</v>
      </c>
      <c r="D244" s="114" t="s">
        <v>2559</v>
      </c>
      <c r="E244" s="114" t="b">
        <v>0</v>
      </c>
      <c r="F244" s="114" t="b">
        <v>0</v>
      </c>
      <c r="G244" s="114" t="b">
        <v>0</v>
      </c>
    </row>
    <row r="245" spans="1:7" ht="15">
      <c r="A245" s="114" t="s">
        <v>1974</v>
      </c>
      <c r="B245" s="114">
        <v>6</v>
      </c>
      <c r="C245" s="116">
        <v>0.0013043669277136387</v>
      </c>
      <c r="D245" s="114" t="s">
        <v>2559</v>
      </c>
      <c r="E245" s="114" t="b">
        <v>0</v>
      </c>
      <c r="F245" s="114" t="b">
        <v>0</v>
      </c>
      <c r="G245" s="114" t="b">
        <v>0</v>
      </c>
    </row>
    <row r="246" spans="1:7" ht="15">
      <c r="A246" s="114" t="s">
        <v>1975</v>
      </c>
      <c r="B246" s="114">
        <v>6</v>
      </c>
      <c r="C246" s="116">
        <v>0.0018336223575490898</v>
      </c>
      <c r="D246" s="114" t="s">
        <v>2559</v>
      </c>
      <c r="E246" s="114" t="b">
        <v>0</v>
      </c>
      <c r="F246" s="114" t="b">
        <v>0</v>
      </c>
      <c r="G246" s="114" t="b">
        <v>0</v>
      </c>
    </row>
    <row r="247" spans="1:7" ht="15">
      <c r="A247" s="114" t="s">
        <v>1976</v>
      </c>
      <c r="B247" s="114">
        <v>6</v>
      </c>
      <c r="C247" s="116">
        <v>0.0018336223575490898</v>
      </c>
      <c r="D247" s="114" t="s">
        <v>2559</v>
      </c>
      <c r="E247" s="114" t="b">
        <v>0</v>
      </c>
      <c r="F247" s="114" t="b">
        <v>0</v>
      </c>
      <c r="G247" s="114" t="b">
        <v>0</v>
      </c>
    </row>
    <row r="248" spans="1:7" ht="15">
      <c r="A248" s="114" t="s">
        <v>1977</v>
      </c>
      <c r="B248" s="114">
        <v>6</v>
      </c>
      <c r="C248" s="116">
        <v>0.0018336223575490898</v>
      </c>
      <c r="D248" s="114" t="s">
        <v>2559</v>
      </c>
      <c r="E248" s="114" t="b">
        <v>0</v>
      </c>
      <c r="F248" s="114" t="b">
        <v>0</v>
      </c>
      <c r="G248" s="114" t="b">
        <v>0</v>
      </c>
    </row>
    <row r="249" spans="1:7" ht="15">
      <c r="A249" s="114" t="s">
        <v>1978</v>
      </c>
      <c r="B249" s="114">
        <v>6</v>
      </c>
      <c r="C249" s="116">
        <v>0.0018336223575490898</v>
      </c>
      <c r="D249" s="114" t="s">
        <v>2559</v>
      </c>
      <c r="E249" s="114" t="b">
        <v>0</v>
      </c>
      <c r="F249" s="114" t="b">
        <v>0</v>
      </c>
      <c r="G249" s="114" t="b">
        <v>0</v>
      </c>
    </row>
    <row r="250" spans="1:7" ht="15">
      <c r="A250" s="114" t="s">
        <v>1979</v>
      </c>
      <c r="B250" s="114">
        <v>6</v>
      </c>
      <c r="C250" s="116">
        <v>0.0018336223575490898</v>
      </c>
      <c r="D250" s="114" t="s">
        <v>2559</v>
      </c>
      <c r="E250" s="114" t="b">
        <v>0</v>
      </c>
      <c r="F250" s="114" t="b">
        <v>1</v>
      </c>
      <c r="G250" s="114" t="b">
        <v>0</v>
      </c>
    </row>
    <row r="251" spans="1:7" ht="15">
      <c r="A251" s="114" t="s">
        <v>1980</v>
      </c>
      <c r="B251" s="114">
        <v>6</v>
      </c>
      <c r="C251" s="116">
        <v>0.0016056844506859035</v>
      </c>
      <c r="D251" s="114" t="s">
        <v>2559</v>
      </c>
      <c r="E251" s="114" t="b">
        <v>0</v>
      </c>
      <c r="F251" s="114" t="b">
        <v>0</v>
      </c>
      <c r="G251" s="114" t="b">
        <v>0</v>
      </c>
    </row>
    <row r="252" spans="1:7" ht="15">
      <c r="A252" s="114" t="s">
        <v>1981</v>
      </c>
      <c r="B252" s="114">
        <v>5</v>
      </c>
      <c r="C252" s="116">
        <v>0.0010869724397613656</v>
      </c>
      <c r="D252" s="114" t="s">
        <v>2559</v>
      </c>
      <c r="E252" s="114" t="b">
        <v>0</v>
      </c>
      <c r="F252" s="114" t="b">
        <v>0</v>
      </c>
      <c r="G252" s="114" t="b">
        <v>0</v>
      </c>
    </row>
    <row r="253" spans="1:7" ht="15">
      <c r="A253" s="114" t="s">
        <v>1982</v>
      </c>
      <c r="B253" s="114">
        <v>5</v>
      </c>
      <c r="C253" s="116">
        <v>0.0010869724397613656</v>
      </c>
      <c r="D253" s="114" t="s">
        <v>2559</v>
      </c>
      <c r="E253" s="114" t="b">
        <v>0</v>
      </c>
      <c r="F253" s="114" t="b">
        <v>0</v>
      </c>
      <c r="G253" s="114" t="b">
        <v>0</v>
      </c>
    </row>
    <row r="254" spans="1:7" ht="15">
      <c r="A254" s="114" t="s">
        <v>1983</v>
      </c>
      <c r="B254" s="114">
        <v>5</v>
      </c>
      <c r="C254" s="116">
        <v>0.0010869724397613656</v>
      </c>
      <c r="D254" s="114" t="s">
        <v>2559</v>
      </c>
      <c r="E254" s="114" t="b">
        <v>0</v>
      </c>
      <c r="F254" s="114" t="b">
        <v>0</v>
      </c>
      <c r="G254" s="114" t="b">
        <v>0</v>
      </c>
    </row>
    <row r="255" spans="1:7" ht="15">
      <c r="A255" s="114" t="s">
        <v>1984</v>
      </c>
      <c r="B255" s="114">
        <v>5</v>
      </c>
      <c r="C255" s="116">
        <v>0.0011481221198522645</v>
      </c>
      <c r="D255" s="114" t="s">
        <v>2559</v>
      </c>
      <c r="E255" s="114" t="b">
        <v>0</v>
      </c>
      <c r="F255" s="114" t="b">
        <v>0</v>
      </c>
      <c r="G255" s="114" t="b">
        <v>0</v>
      </c>
    </row>
    <row r="256" spans="1:7" ht="15">
      <c r="A256" s="114" t="s">
        <v>1985</v>
      </c>
      <c r="B256" s="114">
        <v>5</v>
      </c>
      <c r="C256" s="116">
        <v>0.0012269577688983901</v>
      </c>
      <c r="D256" s="114" t="s">
        <v>2559</v>
      </c>
      <c r="E256" s="114" t="b">
        <v>0</v>
      </c>
      <c r="F256" s="114" t="b">
        <v>0</v>
      </c>
      <c r="G256" s="114" t="b">
        <v>0</v>
      </c>
    </row>
    <row r="257" spans="1:7" ht="15">
      <c r="A257" s="114" t="s">
        <v>1986</v>
      </c>
      <c r="B257" s="114">
        <v>5</v>
      </c>
      <c r="C257" s="116">
        <v>0.0010869724397613656</v>
      </c>
      <c r="D257" s="114" t="s">
        <v>2559</v>
      </c>
      <c r="E257" s="114" t="b">
        <v>0</v>
      </c>
      <c r="F257" s="114" t="b">
        <v>1</v>
      </c>
      <c r="G257" s="114" t="b">
        <v>0</v>
      </c>
    </row>
    <row r="258" spans="1:7" ht="15">
      <c r="A258" s="114" t="s">
        <v>1987</v>
      </c>
      <c r="B258" s="114">
        <v>5</v>
      </c>
      <c r="C258" s="116">
        <v>0.0011481221198522645</v>
      </c>
      <c r="D258" s="114" t="s">
        <v>2559</v>
      </c>
      <c r="E258" s="114" t="b">
        <v>0</v>
      </c>
      <c r="F258" s="114" t="b">
        <v>0</v>
      </c>
      <c r="G258" s="114" t="b">
        <v>0</v>
      </c>
    </row>
    <row r="259" spans="1:7" ht="15">
      <c r="A259" s="114" t="s">
        <v>1988</v>
      </c>
      <c r="B259" s="114">
        <v>5</v>
      </c>
      <c r="C259" s="116">
        <v>0.0013380703755715862</v>
      </c>
      <c r="D259" s="114" t="s">
        <v>2559</v>
      </c>
      <c r="E259" s="114" t="b">
        <v>0</v>
      </c>
      <c r="F259" s="114" t="b">
        <v>0</v>
      </c>
      <c r="G259" s="114" t="b">
        <v>0</v>
      </c>
    </row>
    <row r="260" spans="1:7" ht="15">
      <c r="A260" s="114" t="s">
        <v>1989</v>
      </c>
      <c r="B260" s="114">
        <v>5</v>
      </c>
      <c r="C260" s="116">
        <v>0.0012269577688983901</v>
      </c>
      <c r="D260" s="114" t="s">
        <v>2559</v>
      </c>
      <c r="E260" s="114" t="b">
        <v>0</v>
      </c>
      <c r="F260" s="114" t="b">
        <v>0</v>
      </c>
      <c r="G260" s="114" t="b">
        <v>0</v>
      </c>
    </row>
    <row r="261" spans="1:7" ht="15">
      <c r="A261" s="114" t="s">
        <v>1990</v>
      </c>
      <c r="B261" s="114">
        <v>5</v>
      </c>
      <c r="C261" s="116">
        <v>0.0012269577688983901</v>
      </c>
      <c r="D261" s="114" t="s">
        <v>2559</v>
      </c>
      <c r="E261" s="114" t="b">
        <v>0</v>
      </c>
      <c r="F261" s="114" t="b">
        <v>0</v>
      </c>
      <c r="G261" s="114" t="b">
        <v>0</v>
      </c>
    </row>
    <row r="262" spans="1:7" ht="15">
      <c r="A262" s="114" t="s">
        <v>1991</v>
      </c>
      <c r="B262" s="114">
        <v>5</v>
      </c>
      <c r="C262" s="116">
        <v>0.0011481221198522645</v>
      </c>
      <c r="D262" s="114" t="s">
        <v>2559</v>
      </c>
      <c r="E262" s="114" t="b">
        <v>0</v>
      </c>
      <c r="F262" s="114" t="b">
        <v>0</v>
      </c>
      <c r="G262" s="114" t="b">
        <v>0</v>
      </c>
    </row>
    <row r="263" spans="1:7" ht="15">
      <c r="A263" s="114" t="s">
        <v>1992</v>
      </c>
      <c r="B263" s="114">
        <v>5</v>
      </c>
      <c r="C263" s="116">
        <v>0.0013380703755715862</v>
      </c>
      <c r="D263" s="114" t="s">
        <v>2559</v>
      </c>
      <c r="E263" s="114" t="b">
        <v>0</v>
      </c>
      <c r="F263" s="114" t="b">
        <v>1</v>
      </c>
      <c r="G263" s="114" t="b">
        <v>0</v>
      </c>
    </row>
    <row r="264" spans="1:7" ht="15">
      <c r="A264" s="114" t="s">
        <v>1993</v>
      </c>
      <c r="B264" s="114">
        <v>5</v>
      </c>
      <c r="C264" s="116">
        <v>0.0015280186312909081</v>
      </c>
      <c r="D264" s="114" t="s">
        <v>2559</v>
      </c>
      <c r="E264" s="114" t="b">
        <v>0</v>
      </c>
      <c r="F264" s="114" t="b">
        <v>0</v>
      </c>
      <c r="G264" s="114" t="b">
        <v>0</v>
      </c>
    </row>
    <row r="265" spans="1:7" ht="15">
      <c r="A265" s="114" t="s">
        <v>1994</v>
      </c>
      <c r="B265" s="114">
        <v>5</v>
      </c>
      <c r="C265" s="116">
        <v>0.0010869724397613656</v>
      </c>
      <c r="D265" s="114" t="s">
        <v>2559</v>
      </c>
      <c r="E265" s="114" t="b">
        <v>0</v>
      </c>
      <c r="F265" s="114" t="b">
        <v>0</v>
      </c>
      <c r="G265" s="114" t="b">
        <v>0</v>
      </c>
    </row>
    <row r="266" spans="1:7" ht="15">
      <c r="A266" s="114" t="s">
        <v>1995</v>
      </c>
      <c r="B266" s="114">
        <v>5</v>
      </c>
      <c r="C266" s="116">
        <v>0.0015280186312909081</v>
      </c>
      <c r="D266" s="114" t="s">
        <v>2559</v>
      </c>
      <c r="E266" s="114" t="b">
        <v>0</v>
      </c>
      <c r="F266" s="114" t="b">
        <v>0</v>
      </c>
      <c r="G266" s="114" t="b">
        <v>0</v>
      </c>
    </row>
    <row r="267" spans="1:7" ht="15">
      <c r="A267" s="114" t="s">
        <v>1996</v>
      </c>
      <c r="B267" s="114">
        <v>5</v>
      </c>
      <c r="C267" s="116">
        <v>0.0012269577688983901</v>
      </c>
      <c r="D267" s="114" t="s">
        <v>2559</v>
      </c>
      <c r="E267" s="114" t="b">
        <v>0</v>
      </c>
      <c r="F267" s="114" t="b">
        <v>1</v>
      </c>
      <c r="G267" s="114" t="b">
        <v>0</v>
      </c>
    </row>
    <row r="268" spans="1:7" ht="15">
      <c r="A268" s="114" t="s">
        <v>1997</v>
      </c>
      <c r="B268" s="114">
        <v>5</v>
      </c>
      <c r="C268" s="116">
        <v>0.0011481221198522645</v>
      </c>
      <c r="D268" s="114" t="s">
        <v>2559</v>
      </c>
      <c r="E268" s="114" t="b">
        <v>0</v>
      </c>
      <c r="F268" s="114" t="b">
        <v>0</v>
      </c>
      <c r="G268" s="114" t="b">
        <v>0</v>
      </c>
    </row>
    <row r="269" spans="1:7" ht="15">
      <c r="A269" s="114" t="s">
        <v>1998</v>
      </c>
      <c r="B269" s="114">
        <v>5</v>
      </c>
      <c r="C269" s="116">
        <v>0.0012269577688983901</v>
      </c>
      <c r="D269" s="114" t="s">
        <v>2559</v>
      </c>
      <c r="E269" s="114" t="b">
        <v>1</v>
      </c>
      <c r="F269" s="114" t="b">
        <v>0</v>
      </c>
      <c r="G269" s="114" t="b">
        <v>0</v>
      </c>
    </row>
    <row r="270" spans="1:7" ht="15">
      <c r="A270" s="114" t="s">
        <v>1999</v>
      </c>
      <c r="B270" s="114">
        <v>5</v>
      </c>
      <c r="C270" s="116">
        <v>0.0012269577688983901</v>
      </c>
      <c r="D270" s="114" t="s">
        <v>2559</v>
      </c>
      <c r="E270" s="114" t="b">
        <v>0</v>
      </c>
      <c r="F270" s="114" t="b">
        <v>0</v>
      </c>
      <c r="G270" s="114" t="b">
        <v>0</v>
      </c>
    </row>
    <row r="271" spans="1:7" ht="15">
      <c r="A271" s="114" t="s">
        <v>2000</v>
      </c>
      <c r="B271" s="114">
        <v>5</v>
      </c>
      <c r="C271" s="116">
        <v>0.0010869724397613656</v>
      </c>
      <c r="D271" s="114" t="s">
        <v>2559</v>
      </c>
      <c r="E271" s="114" t="b">
        <v>0</v>
      </c>
      <c r="F271" s="114" t="b">
        <v>0</v>
      </c>
      <c r="G271" s="114" t="b">
        <v>0</v>
      </c>
    </row>
    <row r="272" spans="1:7" ht="15">
      <c r="A272" s="114" t="s">
        <v>2001</v>
      </c>
      <c r="B272" s="114">
        <v>5</v>
      </c>
      <c r="C272" s="116">
        <v>0.0015280186312909081</v>
      </c>
      <c r="D272" s="114" t="s">
        <v>2559</v>
      </c>
      <c r="E272" s="114" t="b">
        <v>0</v>
      </c>
      <c r="F272" s="114" t="b">
        <v>0</v>
      </c>
      <c r="G272" s="114" t="b">
        <v>0</v>
      </c>
    </row>
    <row r="273" spans="1:7" ht="15">
      <c r="A273" s="114" t="s">
        <v>2002</v>
      </c>
      <c r="B273" s="114">
        <v>5</v>
      </c>
      <c r="C273" s="116">
        <v>0.0012269577688983901</v>
      </c>
      <c r="D273" s="114" t="s">
        <v>2559</v>
      </c>
      <c r="E273" s="114" t="b">
        <v>0</v>
      </c>
      <c r="F273" s="114" t="b">
        <v>0</v>
      </c>
      <c r="G273" s="114" t="b">
        <v>0</v>
      </c>
    </row>
    <row r="274" spans="1:7" ht="15">
      <c r="A274" s="114" t="s">
        <v>2003</v>
      </c>
      <c r="B274" s="114">
        <v>5</v>
      </c>
      <c r="C274" s="116">
        <v>0.0011481221198522645</v>
      </c>
      <c r="D274" s="114" t="s">
        <v>2559</v>
      </c>
      <c r="E274" s="114" t="b">
        <v>0</v>
      </c>
      <c r="F274" s="114" t="b">
        <v>0</v>
      </c>
      <c r="G274" s="114" t="b">
        <v>0</v>
      </c>
    </row>
    <row r="275" spans="1:7" ht="15">
      <c r="A275" s="114" t="s">
        <v>2004</v>
      </c>
      <c r="B275" s="114">
        <v>5</v>
      </c>
      <c r="C275" s="116">
        <v>0.0010869724397613656</v>
      </c>
      <c r="D275" s="114" t="s">
        <v>2559</v>
      </c>
      <c r="E275" s="114" t="b">
        <v>0</v>
      </c>
      <c r="F275" s="114" t="b">
        <v>0</v>
      </c>
      <c r="G275" s="114" t="b">
        <v>0</v>
      </c>
    </row>
    <row r="276" spans="1:7" ht="15">
      <c r="A276" s="114" t="s">
        <v>2005</v>
      </c>
      <c r="B276" s="114">
        <v>5</v>
      </c>
      <c r="C276" s="116">
        <v>0.0012269577688983901</v>
      </c>
      <c r="D276" s="114" t="s">
        <v>2559</v>
      </c>
      <c r="E276" s="114" t="b">
        <v>0</v>
      </c>
      <c r="F276" s="114" t="b">
        <v>0</v>
      </c>
      <c r="G276" s="114" t="b">
        <v>0</v>
      </c>
    </row>
    <row r="277" spans="1:7" ht="15">
      <c r="A277" s="114" t="s">
        <v>2006</v>
      </c>
      <c r="B277" s="114">
        <v>5</v>
      </c>
      <c r="C277" s="116">
        <v>0.0010869724397613656</v>
      </c>
      <c r="D277" s="114" t="s">
        <v>2559</v>
      </c>
      <c r="E277" s="114" t="b">
        <v>0</v>
      </c>
      <c r="F277" s="114" t="b">
        <v>0</v>
      </c>
      <c r="G277" s="114" t="b">
        <v>0</v>
      </c>
    </row>
    <row r="278" spans="1:7" ht="15">
      <c r="A278" s="114" t="s">
        <v>2007</v>
      </c>
      <c r="B278" s="114">
        <v>5</v>
      </c>
      <c r="C278" s="116">
        <v>0.0011481221198522645</v>
      </c>
      <c r="D278" s="114" t="s">
        <v>2559</v>
      </c>
      <c r="E278" s="114" t="b">
        <v>0</v>
      </c>
      <c r="F278" s="114" t="b">
        <v>1</v>
      </c>
      <c r="G278" s="114" t="b">
        <v>0</v>
      </c>
    </row>
    <row r="279" spans="1:7" ht="15">
      <c r="A279" s="114" t="s">
        <v>2008</v>
      </c>
      <c r="B279" s="114">
        <v>5</v>
      </c>
      <c r="C279" s="116">
        <v>0.0011481221198522645</v>
      </c>
      <c r="D279" s="114" t="s">
        <v>2559</v>
      </c>
      <c r="E279" s="114" t="b">
        <v>0</v>
      </c>
      <c r="F279" s="114" t="b">
        <v>0</v>
      </c>
      <c r="G279" s="114" t="b">
        <v>0</v>
      </c>
    </row>
    <row r="280" spans="1:7" ht="15">
      <c r="A280" s="114" t="s">
        <v>2009</v>
      </c>
      <c r="B280" s="114">
        <v>5</v>
      </c>
      <c r="C280" s="116">
        <v>0.0012269577688983901</v>
      </c>
      <c r="D280" s="114" t="s">
        <v>2559</v>
      </c>
      <c r="E280" s="114" t="b">
        <v>0</v>
      </c>
      <c r="F280" s="114" t="b">
        <v>1</v>
      </c>
      <c r="G280" s="114" t="b">
        <v>0</v>
      </c>
    </row>
    <row r="281" spans="1:7" ht="15">
      <c r="A281" s="114" t="s">
        <v>2010</v>
      </c>
      <c r="B281" s="114">
        <v>5</v>
      </c>
      <c r="C281" s="116">
        <v>0.0011481221198522645</v>
      </c>
      <c r="D281" s="114" t="s">
        <v>2559</v>
      </c>
      <c r="E281" s="114" t="b">
        <v>0</v>
      </c>
      <c r="F281" s="114" t="b">
        <v>0</v>
      </c>
      <c r="G281" s="114" t="b">
        <v>0</v>
      </c>
    </row>
    <row r="282" spans="1:7" ht="15">
      <c r="A282" s="114" t="s">
        <v>2011</v>
      </c>
      <c r="B282" s="114">
        <v>5</v>
      </c>
      <c r="C282" s="116">
        <v>0.0012269577688983901</v>
      </c>
      <c r="D282" s="114" t="s">
        <v>2559</v>
      </c>
      <c r="E282" s="114" t="b">
        <v>0</v>
      </c>
      <c r="F282" s="114" t="b">
        <v>0</v>
      </c>
      <c r="G282" s="114" t="b">
        <v>0</v>
      </c>
    </row>
    <row r="283" spans="1:7" ht="15">
      <c r="A283" s="114" t="s">
        <v>2012</v>
      </c>
      <c r="B283" s="114">
        <v>5</v>
      </c>
      <c r="C283" s="116">
        <v>0.0015280186312909081</v>
      </c>
      <c r="D283" s="114" t="s">
        <v>2559</v>
      </c>
      <c r="E283" s="114" t="b">
        <v>0</v>
      </c>
      <c r="F283" s="114" t="b">
        <v>0</v>
      </c>
      <c r="G283" s="114" t="b">
        <v>0</v>
      </c>
    </row>
    <row r="284" spans="1:7" ht="15">
      <c r="A284" s="114" t="s">
        <v>2013</v>
      </c>
      <c r="B284" s="114">
        <v>5</v>
      </c>
      <c r="C284" s="116">
        <v>0.0011481221198522645</v>
      </c>
      <c r="D284" s="114" t="s">
        <v>2559</v>
      </c>
      <c r="E284" s="114" t="b">
        <v>0</v>
      </c>
      <c r="F284" s="114" t="b">
        <v>0</v>
      </c>
      <c r="G284" s="114" t="b">
        <v>0</v>
      </c>
    </row>
    <row r="285" spans="1:7" ht="15">
      <c r="A285" s="114" t="s">
        <v>2014</v>
      </c>
      <c r="B285" s="114">
        <v>5</v>
      </c>
      <c r="C285" s="116">
        <v>0.0010869724397613656</v>
      </c>
      <c r="D285" s="114" t="s">
        <v>2559</v>
      </c>
      <c r="E285" s="114" t="b">
        <v>0</v>
      </c>
      <c r="F285" s="114" t="b">
        <v>0</v>
      </c>
      <c r="G285" s="114" t="b">
        <v>0</v>
      </c>
    </row>
    <row r="286" spans="1:7" ht="15">
      <c r="A286" s="114" t="s">
        <v>2015</v>
      </c>
      <c r="B286" s="114">
        <v>5</v>
      </c>
      <c r="C286" s="116">
        <v>0.0013380703755715862</v>
      </c>
      <c r="D286" s="114" t="s">
        <v>2559</v>
      </c>
      <c r="E286" s="114" t="b">
        <v>1</v>
      </c>
      <c r="F286" s="114" t="b">
        <v>0</v>
      </c>
      <c r="G286" s="114" t="b">
        <v>0</v>
      </c>
    </row>
    <row r="287" spans="1:7" ht="15">
      <c r="A287" s="114" t="s">
        <v>2016</v>
      </c>
      <c r="B287" s="114">
        <v>5</v>
      </c>
      <c r="C287" s="116">
        <v>0.0012269577688983901</v>
      </c>
      <c r="D287" s="114" t="s">
        <v>2559</v>
      </c>
      <c r="E287" s="114" t="b">
        <v>0</v>
      </c>
      <c r="F287" s="114" t="b">
        <v>0</v>
      </c>
      <c r="G287" s="114" t="b">
        <v>0</v>
      </c>
    </row>
    <row r="288" spans="1:7" ht="15">
      <c r="A288" s="114" t="s">
        <v>2017</v>
      </c>
      <c r="B288" s="114">
        <v>5</v>
      </c>
      <c r="C288" s="116">
        <v>0.0012269577688983901</v>
      </c>
      <c r="D288" s="114" t="s">
        <v>2559</v>
      </c>
      <c r="E288" s="114" t="b">
        <v>0</v>
      </c>
      <c r="F288" s="114" t="b">
        <v>0</v>
      </c>
      <c r="G288" s="114" t="b">
        <v>0</v>
      </c>
    </row>
    <row r="289" spans="1:7" ht="15">
      <c r="A289" s="114" t="s">
        <v>2018</v>
      </c>
      <c r="B289" s="114">
        <v>5</v>
      </c>
      <c r="C289" s="116">
        <v>0.0011481221198522645</v>
      </c>
      <c r="D289" s="114" t="s">
        <v>2559</v>
      </c>
      <c r="E289" s="114" t="b">
        <v>0</v>
      </c>
      <c r="F289" s="114" t="b">
        <v>1</v>
      </c>
      <c r="G289" s="114" t="b">
        <v>0</v>
      </c>
    </row>
    <row r="290" spans="1:7" ht="15">
      <c r="A290" s="114" t="s">
        <v>2019</v>
      </c>
      <c r="B290" s="114">
        <v>5</v>
      </c>
      <c r="C290" s="116">
        <v>0.0015280186312909081</v>
      </c>
      <c r="D290" s="114" t="s">
        <v>2559</v>
      </c>
      <c r="E290" s="114" t="b">
        <v>1</v>
      </c>
      <c r="F290" s="114" t="b">
        <v>0</v>
      </c>
      <c r="G290" s="114" t="b">
        <v>0</v>
      </c>
    </row>
    <row r="291" spans="1:7" ht="15">
      <c r="A291" s="114" t="s">
        <v>2020</v>
      </c>
      <c r="B291" s="114">
        <v>5</v>
      </c>
      <c r="C291" s="116">
        <v>0.0015280186312909081</v>
      </c>
      <c r="D291" s="114" t="s">
        <v>2559</v>
      </c>
      <c r="E291" s="114" t="b">
        <v>0</v>
      </c>
      <c r="F291" s="114" t="b">
        <v>0</v>
      </c>
      <c r="G291" s="114" t="b">
        <v>0</v>
      </c>
    </row>
    <row r="292" spans="1:7" ht="15">
      <c r="A292" s="114" t="s">
        <v>2021</v>
      </c>
      <c r="B292" s="114">
        <v>5</v>
      </c>
      <c r="C292" s="116">
        <v>0.0012269577688983901</v>
      </c>
      <c r="D292" s="114" t="s">
        <v>2559</v>
      </c>
      <c r="E292" s="114" t="b">
        <v>0</v>
      </c>
      <c r="F292" s="114" t="b">
        <v>0</v>
      </c>
      <c r="G292" s="114" t="b">
        <v>0</v>
      </c>
    </row>
    <row r="293" spans="1:7" ht="15">
      <c r="A293" s="114" t="s">
        <v>2022</v>
      </c>
      <c r="B293" s="114">
        <v>5</v>
      </c>
      <c r="C293" s="116">
        <v>0.0015280186312909081</v>
      </c>
      <c r="D293" s="114" t="s">
        <v>2559</v>
      </c>
      <c r="E293" s="114" t="b">
        <v>0</v>
      </c>
      <c r="F293" s="114" t="b">
        <v>0</v>
      </c>
      <c r="G293" s="114" t="b">
        <v>0</v>
      </c>
    </row>
    <row r="294" spans="1:7" ht="15">
      <c r="A294" s="114" t="s">
        <v>2023</v>
      </c>
      <c r="B294" s="114">
        <v>5</v>
      </c>
      <c r="C294" s="116">
        <v>0.0015280186312909081</v>
      </c>
      <c r="D294" s="114" t="s">
        <v>2559</v>
      </c>
      <c r="E294" s="114" t="b">
        <v>0</v>
      </c>
      <c r="F294" s="114" t="b">
        <v>0</v>
      </c>
      <c r="G294" s="114" t="b">
        <v>0</v>
      </c>
    </row>
    <row r="295" spans="1:7" ht="15">
      <c r="A295" s="114" t="s">
        <v>2024</v>
      </c>
      <c r="B295" s="114">
        <v>5</v>
      </c>
      <c r="C295" s="116">
        <v>0.0015280186312909081</v>
      </c>
      <c r="D295" s="114" t="s">
        <v>2559</v>
      </c>
      <c r="E295" s="114" t="b">
        <v>0</v>
      </c>
      <c r="F295" s="114" t="b">
        <v>0</v>
      </c>
      <c r="G295" s="114" t="b">
        <v>0</v>
      </c>
    </row>
    <row r="296" spans="1:7" ht="15">
      <c r="A296" s="114" t="s">
        <v>2025</v>
      </c>
      <c r="B296" s="114">
        <v>4</v>
      </c>
      <c r="C296" s="116">
        <v>0.0009184976958818116</v>
      </c>
      <c r="D296" s="114" t="s">
        <v>2559</v>
      </c>
      <c r="E296" s="114" t="b">
        <v>0</v>
      </c>
      <c r="F296" s="114" t="b">
        <v>0</v>
      </c>
      <c r="G296" s="114" t="b">
        <v>0</v>
      </c>
    </row>
    <row r="297" spans="1:7" ht="15">
      <c r="A297" s="114" t="s">
        <v>2026</v>
      </c>
      <c r="B297" s="114">
        <v>4</v>
      </c>
      <c r="C297" s="116">
        <v>0.0009184976958818116</v>
      </c>
      <c r="D297" s="114" t="s">
        <v>2559</v>
      </c>
      <c r="E297" s="114" t="b">
        <v>0</v>
      </c>
      <c r="F297" s="114" t="b">
        <v>0</v>
      </c>
      <c r="G297" s="114" t="b">
        <v>0</v>
      </c>
    </row>
    <row r="298" spans="1:7" ht="15">
      <c r="A298" s="114" t="s">
        <v>2027</v>
      </c>
      <c r="B298" s="114">
        <v>4</v>
      </c>
      <c r="C298" s="116">
        <v>0.0012224149050327265</v>
      </c>
      <c r="D298" s="114" t="s">
        <v>2559</v>
      </c>
      <c r="E298" s="114" t="b">
        <v>0</v>
      </c>
      <c r="F298" s="114" t="b">
        <v>0</v>
      </c>
      <c r="G298" s="114" t="b">
        <v>0</v>
      </c>
    </row>
    <row r="299" spans="1:7" ht="15">
      <c r="A299" s="114" t="s">
        <v>2028</v>
      </c>
      <c r="B299" s="114">
        <v>4</v>
      </c>
      <c r="C299" s="116">
        <v>0.000981566215118712</v>
      </c>
      <c r="D299" s="114" t="s">
        <v>2559</v>
      </c>
      <c r="E299" s="114" t="b">
        <v>0</v>
      </c>
      <c r="F299" s="114" t="b">
        <v>0</v>
      </c>
      <c r="G299" s="114" t="b">
        <v>0</v>
      </c>
    </row>
    <row r="300" spans="1:7" ht="15">
      <c r="A300" s="114" t="s">
        <v>2029</v>
      </c>
      <c r="B300" s="114">
        <v>4</v>
      </c>
      <c r="C300" s="116">
        <v>0.0009184976958818116</v>
      </c>
      <c r="D300" s="114" t="s">
        <v>2559</v>
      </c>
      <c r="E300" s="114" t="b">
        <v>0</v>
      </c>
      <c r="F300" s="114" t="b">
        <v>0</v>
      </c>
      <c r="G300" s="114" t="b">
        <v>0</v>
      </c>
    </row>
    <row r="301" spans="1:7" ht="15">
      <c r="A301" s="114" t="s">
        <v>2030</v>
      </c>
      <c r="B301" s="114">
        <v>4</v>
      </c>
      <c r="C301" s="116">
        <v>0.0009184976958818116</v>
      </c>
      <c r="D301" s="114" t="s">
        <v>2559</v>
      </c>
      <c r="E301" s="114" t="b">
        <v>0</v>
      </c>
      <c r="F301" s="114" t="b">
        <v>0</v>
      </c>
      <c r="G301" s="114" t="b">
        <v>0</v>
      </c>
    </row>
    <row r="302" spans="1:7" ht="15">
      <c r="A302" s="114" t="s">
        <v>2031</v>
      </c>
      <c r="B302" s="114">
        <v>4</v>
      </c>
      <c r="C302" s="116">
        <v>0.0009184976958818116</v>
      </c>
      <c r="D302" s="114" t="s">
        <v>2559</v>
      </c>
      <c r="E302" s="114" t="b">
        <v>0</v>
      </c>
      <c r="F302" s="114" t="b">
        <v>0</v>
      </c>
      <c r="G302" s="114" t="b">
        <v>0</v>
      </c>
    </row>
    <row r="303" spans="1:7" ht="15">
      <c r="A303" s="114" t="s">
        <v>2032</v>
      </c>
      <c r="B303" s="114">
        <v>4</v>
      </c>
      <c r="C303" s="116">
        <v>0.0009184976958818116</v>
      </c>
      <c r="D303" s="114" t="s">
        <v>2559</v>
      </c>
      <c r="E303" s="114" t="b">
        <v>0</v>
      </c>
      <c r="F303" s="114" t="b">
        <v>0</v>
      </c>
      <c r="G303" s="114" t="b">
        <v>0</v>
      </c>
    </row>
    <row r="304" spans="1:7" ht="15">
      <c r="A304" s="114" t="s">
        <v>2033</v>
      </c>
      <c r="B304" s="114">
        <v>4</v>
      </c>
      <c r="C304" s="116">
        <v>0.0009184976958818116</v>
      </c>
      <c r="D304" s="114" t="s">
        <v>2559</v>
      </c>
      <c r="E304" s="114" t="b">
        <v>0</v>
      </c>
      <c r="F304" s="114" t="b">
        <v>0</v>
      </c>
      <c r="G304" s="114" t="b">
        <v>0</v>
      </c>
    </row>
    <row r="305" spans="1:7" ht="15">
      <c r="A305" s="114" t="s">
        <v>2034</v>
      </c>
      <c r="B305" s="114">
        <v>4</v>
      </c>
      <c r="C305" s="116">
        <v>0.000981566215118712</v>
      </c>
      <c r="D305" s="114" t="s">
        <v>2559</v>
      </c>
      <c r="E305" s="114" t="b">
        <v>0</v>
      </c>
      <c r="F305" s="114" t="b">
        <v>0</v>
      </c>
      <c r="G305" s="114" t="b">
        <v>0</v>
      </c>
    </row>
    <row r="306" spans="1:7" ht="15">
      <c r="A306" s="114" t="s">
        <v>2035</v>
      </c>
      <c r="B306" s="114">
        <v>4</v>
      </c>
      <c r="C306" s="116">
        <v>0.000981566215118712</v>
      </c>
      <c r="D306" s="114" t="s">
        <v>2559</v>
      </c>
      <c r="E306" s="114" t="b">
        <v>0</v>
      </c>
      <c r="F306" s="114" t="b">
        <v>0</v>
      </c>
      <c r="G306" s="114" t="b">
        <v>0</v>
      </c>
    </row>
    <row r="307" spans="1:7" ht="15">
      <c r="A307" s="114" t="s">
        <v>2036</v>
      </c>
      <c r="B307" s="114">
        <v>4</v>
      </c>
      <c r="C307" s="116">
        <v>0.0009184976958818116</v>
      </c>
      <c r="D307" s="114" t="s">
        <v>2559</v>
      </c>
      <c r="E307" s="114" t="b">
        <v>0</v>
      </c>
      <c r="F307" s="114" t="b">
        <v>0</v>
      </c>
      <c r="G307" s="114" t="b">
        <v>0</v>
      </c>
    </row>
    <row r="308" spans="1:7" ht="15">
      <c r="A308" s="114" t="s">
        <v>2037</v>
      </c>
      <c r="B308" s="114">
        <v>4</v>
      </c>
      <c r="C308" s="116">
        <v>0.0009184976958818116</v>
      </c>
      <c r="D308" s="114" t="s">
        <v>2559</v>
      </c>
      <c r="E308" s="114" t="b">
        <v>0</v>
      </c>
      <c r="F308" s="114" t="b">
        <v>0</v>
      </c>
      <c r="G308" s="114" t="b">
        <v>0</v>
      </c>
    </row>
    <row r="309" spans="1:7" ht="15">
      <c r="A309" s="114" t="s">
        <v>2038</v>
      </c>
      <c r="B309" s="114">
        <v>4</v>
      </c>
      <c r="C309" s="116">
        <v>0.0009184976958818116</v>
      </c>
      <c r="D309" s="114" t="s">
        <v>2559</v>
      </c>
      <c r="E309" s="114" t="b">
        <v>0</v>
      </c>
      <c r="F309" s="114" t="b">
        <v>1</v>
      </c>
      <c r="G309" s="114" t="b">
        <v>0</v>
      </c>
    </row>
    <row r="310" spans="1:7" ht="15">
      <c r="A310" s="114" t="s">
        <v>2039</v>
      </c>
      <c r="B310" s="114">
        <v>4</v>
      </c>
      <c r="C310" s="116">
        <v>0.0009184976958818116</v>
      </c>
      <c r="D310" s="114" t="s">
        <v>2559</v>
      </c>
      <c r="E310" s="114" t="b">
        <v>0</v>
      </c>
      <c r="F310" s="114" t="b">
        <v>0</v>
      </c>
      <c r="G310" s="114" t="b">
        <v>0</v>
      </c>
    </row>
    <row r="311" spans="1:7" ht="15">
      <c r="A311" s="114" t="s">
        <v>2040</v>
      </c>
      <c r="B311" s="114">
        <v>4</v>
      </c>
      <c r="C311" s="116">
        <v>0.000981566215118712</v>
      </c>
      <c r="D311" s="114" t="s">
        <v>2559</v>
      </c>
      <c r="E311" s="114" t="b">
        <v>0</v>
      </c>
      <c r="F311" s="114" t="b">
        <v>0</v>
      </c>
      <c r="G311" s="114" t="b">
        <v>0</v>
      </c>
    </row>
    <row r="312" spans="1:7" ht="15">
      <c r="A312" s="114" t="s">
        <v>2041</v>
      </c>
      <c r="B312" s="114">
        <v>4</v>
      </c>
      <c r="C312" s="116">
        <v>0.0009184976958818116</v>
      </c>
      <c r="D312" s="114" t="s">
        <v>2559</v>
      </c>
      <c r="E312" s="114" t="b">
        <v>0</v>
      </c>
      <c r="F312" s="114" t="b">
        <v>0</v>
      </c>
      <c r="G312" s="114" t="b">
        <v>0</v>
      </c>
    </row>
    <row r="313" spans="1:7" ht="15">
      <c r="A313" s="114" t="s">
        <v>2042</v>
      </c>
      <c r="B313" s="114">
        <v>4</v>
      </c>
      <c r="C313" s="116">
        <v>0.000981566215118712</v>
      </c>
      <c r="D313" s="114" t="s">
        <v>2559</v>
      </c>
      <c r="E313" s="114" t="b">
        <v>0</v>
      </c>
      <c r="F313" s="114" t="b">
        <v>0</v>
      </c>
      <c r="G313" s="114" t="b">
        <v>0</v>
      </c>
    </row>
    <row r="314" spans="1:7" ht="15">
      <c r="A314" s="114" t="s">
        <v>2043</v>
      </c>
      <c r="B314" s="114">
        <v>4</v>
      </c>
      <c r="C314" s="116">
        <v>0.000981566215118712</v>
      </c>
      <c r="D314" s="114" t="s">
        <v>2559</v>
      </c>
      <c r="E314" s="114" t="b">
        <v>0</v>
      </c>
      <c r="F314" s="114" t="b">
        <v>0</v>
      </c>
      <c r="G314" s="114" t="b">
        <v>0</v>
      </c>
    </row>
    <row r="315" spans="1:7" ht="15">
      <c r="A315" s="114" t="s">
        <v>2044</v>
      </c>
      <c r="B315" s="114">
        <v>4</v>
      </c>
      <c r="C315" s="116">
        <v>0.000981566215118712</v>
      </c>
      <c r="D315" s="114" t="s">
        <v>2559</v>
      </c>
      <c r="E315" s="114" t="b">
        <v>0</v>
      </c>
      <c r="F315" s="114" t="b">
        <v>0</v>
      </c>
      <c r="G315" s="114" t="b">
        <v>0</v>
      </c>
    </row>
    <row r="316" spans="1:7" ht="15">
      <c r="A316" s="114" t="s">
        <v>2045</v>
      </c>
      <c r="B316" s="114">
        <v>4</v>
      </c>
      <c r="C316" s="116">
        <v>0.0012224149050327265</v>
      </c>
      <c r="D316" s="114" t="s">
        <v>2559</v>
      </c>
      <c r="E316" s="114" t="b">
        <v>0</v>
      </c>
      <c r="F316" s="114" t="b">
        <v>0</v>
      </c>
      <c r="G316" s="114" t="b">
        <v>0</v>
      </c>
    </row>
    <row r="317" spans="1:7" ht="15">
      <c r="A317" s="114" t="s">
        <v>2046</v>
      </c>
      <c r="B317" s="114">
        <v>4</v>
      </c>
      <c r="C317" s="116">
        <v>0.000981566215118712</v>
      </c>
      <c r="D317" s="114" t="s">
        <v>2559</v>
      </c>
      <c r="E317" s="114" t="b">
        <v>0</v>
      </c>
      <c r="F317" s="114" t="b">
        <v>0</v>
      </c>
      <c r="G317" s="114" t="b">
        <v>0</v>
      </c>
    </row>
    <row r="318" spans="1:7" ht="15">
      <c r="A318" s="114" t="s">
        <v>2047</v>
      </c>
      <c r="B318" s="114">
        <v>4</v>
      </c>
      <c r="C318" s="116">
        <v>0.0012224149050327265</v>
      </c>
      <c r="D318" s="114" t="s">
        <v>2559</v>
      </c>
      <c r="E318" s="114" t="b">
        <v>0</v>
      </c>
      <c r="F318" s="114" t="b">
        <v>0</v>
      </c>
      <c r="G318" s="114" t="b">
        <v>0</v>
      </c>
    </row>
    <row r="319" spans="1:7" ht="15">
      <c r="A319" s="114" t="s">
        <v>2048</v>
      </c>
      <c r="B319" s="114">
        <v>4</v>
      </c>
      <c r="C319" s="116">
        <v>0.000981566215118712</v>
      </c>
      <c r="D319" s="114" t="s">
        <v>2559</v>
      </c>
      <c r="E319" s="114" t="b">
        <v>0</v>
      </c>
      <c r="F319" s="114" t="b">
        <v>0</v>
      </c>
      <c r="G319" s="114" t="b">
        <v>0</v>
      </c>
    </row>
    <row r="320" spans="1:7" ht="15">
      <c r="A320" s="114" t="s">
        <v>2049</v>
      </c>
      <c r="B320" s="114">
        <v>4</v>
      </c>
      <c r="C320" s="116">
        <v>0.0012224149050327265</v>
      </c>
      <c r="D320" s="114" t="s">
        <v>2559</v>
      </c>
      <c r="E320" s="114" t="b">
        <v>0</v>
      </c>
      <c r="F320" s="114" t="b">
        <v>0</v>
      </c>
      <c r="G320" s="114" t="b">
        <v>0</v>
      </c>
    </row>
    <row r="321" spans="1:7" ht="15">
      <c r="A321" s="114" t="s">
        <v>2050</v>
      </c>
      <c r="B321" s="114">
        <v>4</v>
      </c>
      <c r="C321" s="116">
        <v>0.0009184976958818116</v>
      </c>
      <c r="D321" s="114" t="s">
        <v>2559</v>
      </c>
      <c r="E321" s="114" t="b">
        <v>0</v>
      </c>
      <c r="F321" s="114" t="b">
        <v>0</v>
      </c>
      <c r="G321" s="114" t="b">
        <v>0</v>
      </c>
    </row>
    <row r="322" spans="1:7" ht="15">
      <c r="A322" s="114" t="s">
        <v>2051</v>
      </c>
      <c r="B322" s="114">
        <v>4</v>
      </c>
      <c r="C322" s="116">
        <v>0.000981566215118712</v>
      </c>
      <c r="D322" s="114" t="s">
        <v>2559</v>
      </c>
      <c r="E322" s="114" t="b">
        <v>0</v>
      </c>
      <c r="F322" s="114" t="b">
        <v>0</v>
      </c>
      <c r="G322" s="114" t="b">
        <v>0</v>
      </c>
    </row>
    <row r="323" spans="1:7" ht="15">
      <c r="A323" s="114" t="s">
        <v>2052</v>
      </c>
      <c r="B323" s="114">
        <v>4</v>
      </c>
      <c r="C323" s="116">
        <v>0.0009184976958818116</v>
      </c>
      <c r="D323" s="114" t="s">
        <v>2559</v>
      </c>
      <c r="E323" s="114" t="b">
        <v>0</v>
      </c>
      <c r="F323" s="114" t="b">
        <v>0</v>
      </c>
      <c r="G323" s="114" t="b">
        <v>0</v>
      </c>
    </row>
    <row r="324" spans="1:7" ht="15">
      <c r="A324" s="114" t="s">
        <v>2053</v>
      </c>
      <c r="B324" s="114">
        <v>4</v>
      </c>
      <c r="C324" s="116">
        <v>0.0009184976958818116</v>
      </c>
      <c r="D324" s="114" t="s">
        <v>2559</v>
      </c>
      <c r="E324" s="114" t="b">
        <v>0</v>
      </c>
      <c r="F324" s="114" t="b">
        <v>0</v>
      </c>
      <c r="G324" s="114" t="b">
        <v>0</v>
      </c>
    </row>
    <row r="325" spans="1:7" ht="15">
      <c r="A325" s="114" t="s">
        <v>2054</v>
      </c>
      <c r="B325" s="114">
        <v>4</v>
      </c>
      <c r="C325" s="116">
        <v>0.0009184976958818116</v>
      </c>
      <c r="D325" s="114" t="s">
        <v>2559</v>
      </c>
      <c r="E325" s="114" t="b">
        <v>0</v>
      </c>
      <c r="F325" s="114" t="b">
        <v>0</v>
      </c>
      <c r="G325" s="114" t="b">
        <v>0</v>
      </c>
    </row>
    <row r="326" spans="1:7" ht="15">
      <c r="A326" s="114" t="s">
        <v>2055</v>
      </c>
      <c r="B326" s="114">
        <v>4</v>
      </c>
      <c r="C326" s="116">
        <v>0.0009184976958818116</v>
      </c>
      <c r="D326" s="114" t="s">
        <v>2559</v>
      </c>
      <c r="E326" s="114" t="b">
        <v>0</v>
      </c>
      <c r="F326" s="114" t="b">
        <v>0</v>
      </c>
      <c r="G326" s="114" t="b">
        <v>0</v>
      </c>
    </row>
    <row r="327" spans="1:7" ht="15">
      <c r="A327" s="114" t="s">
        <v>2056</v>
      </c>
      <c r="B327" s="114">
        <v>4</v>
      </c>
      <c r="C327" s="116">
        <v>0.0009184976958818116</v>
      </c>
      <c r="D327" s="114" t="s">
        <v>2559</v>
      </c>
      <c r="E327" s="114" t="b">
        <v>0</v>
      </c>
      <c r="F327" s="114" t="b">
        <v>0</v>
      </c>
      <c r="G327" s="114" t="b">
        <v>0</v>
      </c>
    </row>
    <row r="328" spans="1:7" ht="15">
      <c r="A328" s="114" t="s">
        <v>2057</v>
      </c>
      <c r="B328" s="114">
        <v>4</v>
      </c>
      <c r="C328" s="116">
        <v>0.0009184976958818116</v>
      </c>
      <c r="D328" s="114" t="s">
        <v>2559</v>
      </c>
      <c r="E328" s="114" t="b">
        <v>0</v>
      </c>
      <c r="F328" s="114" t="b">
        <v>0</v>
      </c>
      <c r="G328" s="114" t="b">
        <v>0</v>
      </c>
    </row>
    <row r="329" spans="1:7" ht="15">
      <c r="A329" s="114" t="s">
        <v>2058</v>
      </c>
      <c r="B329" s="114">
        <v>4</v>
      </c>
      <c r="C329" s="116">
        <v>0.0009184976958818116</v>
      </c>
      <c r="D329" s="114" t="s">
        <v>2559</v>
      </c>
      <c r="E329" s="114" t="b">
        <v>0</v>
      </c>
      <c r="F329" s="114" t="b">
        <v>0</v>
      </c>
      <c r="G329" s="114" t="b">
        <v>0</v>
      </c>
    </row>
    <row r="330" spans="1:7" ht="15">
      <c r="A330" s="114" t="s">
        <v>2059</v>
      </c>
      <c r="B330" s="114">
        <v>4</v>
      </c>
      <c r="C330" s="116">
        <v>0.0009184976958818116</v>
      </c>
      <c r="D330" s="114" t="s">
        <v>2559</v>
      </c>
      <c r="E330" s="114" t="b">
        <v>0</v>
      </c>
      <c r="F330" s="114" t="b">
        <v>0</v>
      </c>
      <c r="G330" s="114" t="b">
        <v>0</v>
      </c>
    </row>
    <row r="331" spans="1:7" ht="15">
      <c r="A331" s="114" t="s">
        <v>2060</v>
      </c>
      <c r="B331" s="114">
        <v>4</v>
      </c>
      <c r="C331" s="116">
        <v>0.0009184976958818116</v>
      </c>
      <c r="D331" s="114" t="s">
        <v>2559</v>
      </c>
      <c r="E331" s="114" t="b">
        <v>0</v>
      </c>
      <c r="F331" s="114" t="b">
        <v>0</v>
      </c>
      <c r="G331" s="114" t="b">
        <v>0</v>
      </c>
    </row>
    <row r="332" spans="1:7" ht="15">
      <c r="A332" s="114" t="s">
        <v>2061</v>
      </c>
      <c r="B332" s="114">
        <v>4</v>
      </c>
      <c r="C332" s="116">
        <v>0.0009184976958818116</v>
      </c>
      <c r="D332" s="114" t="s">
        <v>2559</v>
      </c>
      <c r="E332" s="114" t="b">
        <v>0</v>
      </c>
      <c r="F332" s="114" t="b">
        <v>0</v>
      </c>
      <c r="G332" s="114" t="b">
        <v>0</v>
      </c>
    </row>
    <row r="333" spans="1:7" ht="15">
      <c r="A333" s="114" t="s">
        <v>2062</v>
      </c>
      <c r="B333" s="114">
        <v>4</v>
      </c>
      <c r="C333" s="116">
        <v>0.0009184976958818116</v>
      </c>
      <c r="D333" s="114" t="s">
        <v>2559</v>
      </c>
      <c r="E333" s="114" t="b">
        <v>0</v>
      </c>
      <c r="F333" s="114" t="b">
        <v>0</v>
      </c>
      <c r="G333" s="114" t="b">
        <v>0</v>
      </c>
    </row>
    <row r="334" spans="1:7" ht="15">
      <c r="A334" s="114" t="s">
        <v>2063</v>
      </c>
      <c r="B334" s="114">
        <v>4</v>
      </c>
      <c r="C334" s="116">
        <v>0.0009184976958818116</v>
      </c>
      <c r="D334" s="114" t="s">
        <v>2559</v>
      </c>
      <c r="E334" s="114" t="b">
        <v>0</v>
      </c>
      <c r="F334" s="114" t="b">
        <v>0</v>
      </c>
      <c r="G334" s="114" t="b">
        <v>0</v>
      </c>
    </row>
    <row r="335" spans="1:7" ht="15">
      <c r="A335" s="114" t="s">
        <v>2064</v>
      </c>
      <c r="B335" s="114">
        <v>4</v>
      </c>
      <c r="C335" s="116">
        <v>0.0009184976958818116</v>
      </c>
      <c r="D335" s="114" t="s">
        <v>2559</v>
      </c>
      <c r="E335" s="114" t="b">
        <v>0</v>
      </c>
      <c r="F335" s="114" t="b">
        <v>0</v>
      </c>
      <c r="G335" s="114" t="b">
        <v>0</v>
      </c>
    </row>
    <row r="336" spans="1:7" ht="15">
      <c r="A336" s="114" t="s">
        <v>2065</v>
      </c>
      <c r="B336" s="114">
        <v>4</v>
      </c>
      <c r="C336" s="116">
        <v>0.0012224149050327265</v>
      </c>
      <c r="D336" s="114" t="s">
        <v>2559</v>
      </c>
      <c r="E336" s="114" t="b">
        <v>0</v>
      </c>
      <c r="F336" s="114" t="b">
        <v>0</v>
      </c>
      <c r="G336" s="114" t="b">
        <v>0</v>
      </c>
    </row>
    <row r="337" spans="1:7" ht="15">
      <c r="A337" s="114" t="s">
        <v>2066</v>
      </c>
      <c r="B337" s="114">
        <v>4</v>
      </c>
      <c r="C337" s="116">
        <v>0.000981566215118712</v>
      </c>
      <c r="D337" s="114" t="s">
        <v>2559</v>
      </c>
      <c r="E337" s="114" t="b">
        <v>0</v>
      </c>
      <c r="F337" s="114" t="b">
        <v>0</v>
      </c>
      <c r="G337" s="114" t="b">
        <v>0</v>
      </c>
    </row>
    <row r="338" spans="1:7" ht="15">
      <c r="A338" s="114" t="s">
        <v>2067</v>
      </c>
      <c r="B338" s="114">
        <v>4</v>
      </c>
      <c r="C338" s="116">
        <v>0.0009184976958818116</v>
      </c>
      <c r="D338" s="114" t="s">
        <v>2559</v>
      </c>
      <c r="E338" s="114" t="b">
        <v>0</v>
      </c>
      <c r="F338" s="114" t="b">
        <v>0</v>
      </c>
      <c r="G338" s="114" t="b">
        <v>0</v>
      </c>
    </row>
    <row r="339" spans="1:7" ht="15">
      <c r="A339" s="114" t="s">
        <v>2068</v>
      </c>
      <c r="B339" s="114">
        <v>4</v>
      </c>
      <c r="C339" s="116">
        <v>0.0009184976958818116</v>
      </c>
      <c r="D339" s="114" t="s">
        <v>2559</v>
      </c>
      <c r="E339" s="114" t="b">
        <v>0</v>
      </c>
      <c r="F339" s="114" t="b">
        <v>0</v>
      </c>
      <c r="G339" s="114" t="b">
        <v>0</v>
      </c>
    </row>
    <row r="340" spans="1:7" ht="15">
      <c r="A340" s="114" t="s">
        <v>2069</v>
      </c>
      <c r="B340" s="114">
        <v>4</v>
      </c>
      <c r="C340" s="116">
        <v>0.0009184976958818116</v>
      </c>
      <c r="D340" s="114" t="s">
        <v>2559</v>
      </c>
      <c r="E340" s="114" t="b">
        <v>0</v>
      </c>
      <c r="F340" s="114" t="b">
        <v>0</v>
      </c>
      <c r="G340" s="114" t="b">
        <v>0</v>
      </c>
    </row>
    <row r="341" spans="1:7" ht="15">
      <c r="A341" s="114" t="s">
        <v>2070</v>
      </c>
      <c r="B341" s="114">
        <v>4</v>
      </c>
      <c r="C341" s="116">
        <v>0.0009184976958818116</v>
      </c>
      <c r="D341" s="114" t="s">
        <v>2559</v>
      </c>
      <c r="E341" s="114" t="b">
        <v>0</v>
      </c>
      <c r="F341" s="114" t="b">
        <v>0</v>
      </c>
      <c r="G341" s="114" t="b">
        <v>0</v>
      </c>
    </row>
    <row r="342" spans="1:7" ht="15">
      <c r="A342" s="114" t="s">
        <v>2071</v>
      </c>
      <c r="B342" s="114">
        <v>4</v>
      </c>
      <c r="C342" s="116">
        <v>0.0009184976958818116</v>
      </c>
      <c r="D342" s="114" t="s">
        <v>2559</v>
      </c>
      <c r="E342" s="114" t="b">
        <v>0</v>
      </c>
      <c r="F342" s="114" t="b">
        <v>0</v>
      </c>
      <c r="G342" s="114" t="b">
        <v>0</v>
      </c>
    </row>
    <row r="343" spans="1:7" ht="15">
      <c r="A343" s="114" t="s">
        <v>2072</v>
      </c>
      <c r="B343" s="114">
        <v>4</v>
      </c>
      <c r="C343" s="116">
        <v>0.0009184976958818116</v>
      </c>
      <c r="D343" s="114" t="s">
        <v>2559</v>
      </c>
      <c r="E343" s="114" t="b">
        <v>0</v>
      </c>
      <c r="F343" s="114" t="b">
        <v>0</v>
      </c>
      <c r="G343" s="114" t="b">
        <v>0</v>
      </c>
    </row>
    <row r="344" spans="1:7" ht="15">
      <c r="A344" s="114" t="s">
        <v>2073</v>
      </c>
      <c r="B344" s="114">
        <v>4</v>
      </c>
      <c r="C344" s="116">
        <v>0.0009184976958818116</v>
      </c>
      <c r="D344" s="114" t="s">
        <v>2559</v>
      </c>
      <c r="E344" s="114" t="b">
        <v>0</v>
      </c>
      <c r="F344" s="114" t="b">
        <v>0</v>
      </c>
      <c r="G344" s="114" t="b">
        <v>0</v>
      </c>
    </row>
    <row r="345" spans="1:7" ht="15">
      <c r="A345" s="114" t="s">
        <v>2074</v>
      </c>
      <c r="B345" s="114">
        <v>4</v>
      </c>
      <c r="C345" s="116">
        <v>0.001070456300457269</v>
      </c>
      <c r="D345" s="114" t="s">
        <v>2559</v>
      </c>
      <c r="E345" s="114" t="b">
        <v>0</v>
      </c>
      <c r="F345" s="114" t="b">
        <v>0</v>
      </c>
      <c r="G345" s="114" t="b">
        <v>0</v>
      </c>
    </row>
    <row r="346" spans="1:7" ht="15">
      <c r="A346" s="114" t="s">
        <v>2075</v>
      </c>
      <c r="B346" s="114">
        <v>4</v>
      </c>
      <c r="C346" s="116">
        <v>0.0009184976958818116</v>
      </c>
      <c r="D346" s="114" t="s">
        <v>2559</v>
      </c>
      <c r="E346" s="114" t="b">
        <v>1</v>
      </c>
      <c r="F346" s="114" t="b">
        <v>0</v>
      </c>
      <c r="G346" s="114" t="b">
        <v>0</v>
      </c>
    </row>
    <row r="347" spans="1:7" ht="15">
      <c r="A347" s="114" t="s">
        <v>2076</v>
      </c>
      <c r="B347" s="114">
        <v>4</v>
      </c>
      <c r="C347" s="116">
        <v>0.001070456300457269</v>
      </c>
      <c r="D347" s="114" t="s">
        <v>2559</v>
      </c>
      <c r="E347" s="114" t="b">
        <v>0</v>
      </c>
      <c r="F347" s="114" t="b">
        <v>0</v>
      </c>
      <c r="G347" s="114" t="b">
        <v>0</v>
      </c>
    </row>
    <row r="348" spans="1:7" ht="15">
      <c r="A348" s="114" t="s">
        <v>2077</v>
      </c>
      <c r="B348" s="114">
        <v>4</v>
      </c>
      <c r="C348" s="116">
        <v>0.0009184976958818116</v>
      </c>
      <c r="D348" s="114" t="s">
        <v>2559</v>
      </c>
      <c r="E348" s="114" t="b">
        <v>0</v>
      </c>
      <c r="F348" s="114" t="b">
        <v>0</v>
      </c>
      <c r="G348" s="114" t="b">
        <v>0</v>
      </c>
    </row>
    <row r="349" spans="1:7" ht="15">
      <c r="A349" s="114" t="s">
        <v>2078</v>
      </c>
      <c r="B349" s="114">
        <v>4</v>
      </c>
      <c r="C349" s="116">
        <v>0.001070456300457269</v>
      </c>
      <c r="D349" s="114" t="s">
        <v>2559</v>
      </c>
      <c r="E349" s="114" t="b">
        <v>0</v>
      </c>
      <c r="F349" s="114" t="b">
        <v>0</v>
      </c>
      <c r="G349" s="114" t="b">
        <v>0</v>
      </c>
    </row>
    <row r="350" spans="1:7" ht="15">
      <c r="A350" s="114" t="s">
        <v>2079</v>
      </c>
      <c r="B350" s="114">
        <v>4</v>
      </c>
      <c r="C350" s="116">
        <v>0.000981566215118712</v>
      </c>
      <c r="D350" s="114" t="s">
        <v>2559</v>
      </c>
      <c r="E350" s="114" t="b">
        <v>0</v>
      </c>
      <c r="F350" s="114" t="b">
        <v>0</v>
      </c>
      <c r="G350" s="114" t="b">
        <v>0</v>
      </c>
    </row>
    <row r="351" spans="1:7" ht="15">
      <c r="A351" s="114" t="s">
        <v>2080</v>
      </c>
      <c r="B351" s="114">
        <v>4</v>
      </c>
      <c r="C351" s="116">
        <v>0.000981566215118712</v>
      </c>
      <c r="D351" s="114" t="s">
        <v>2559</v>
      </c>
      <c r="E351" s="114" t="b">
        <v>0</v>
      </c>
      <c r="F351" s="114" t="b">
        <v>0</v>
      </c>
      <c r="G351" s="114" t="b">
        <v>0</v>
      </c>
    </row>
    <row r="352" spans="1:7" ht="15">
      <c r="A352" s="114" t="s">
        <v>2081</v>
      </c>
      <c r="B352" s="114">
        <v>4</v>
      </c>
      <c r="C352" s="116">
        <v>0.0012224149050327265</v>
      </c>
      <c r="D352" s="114" t="s">
        <v>2559</v>
      </c>
      <c r="E352" s="114" t="b">
        <v>0</v>
      </c>
      <c r="F352" s="114" t="b">
        <v>0</v>
      </c>
      <c r="G352" s="114" t="b">
        <v>0</v>
      </c>
    </row>
    <row r="353" spans="1:7" ht="15">
      <c r="A353" s="114" t="s">
        <v>2082</v>
      </c>
      <c r="B353" s="114">
        <v>4</v>
      </c>
      <c r="C353" s="116">
        <v>0.0012224149050327265</v>
      </c>
      <c r="D353" s="114" t="s">
        <v>2559</v>
      </c>
      <c r="E353" s="114" t="b">
        <v>0</v>
      </c>
      <c r="F353" s="114" t="b">
        <v>0</v>
      </c>
      <c r="G353" s="114" t="b">
        <v>0</v>
      </c>
    </row>
    <row r="354" spans="1:7" ht="15">
      <c r="A354" s="114" t="s">
        <v>2083</v>
      </c>
      <c r="B354" s="114">
        <v>4</v>
      </c>
      <c r="C354" s="116">
        <v>0.0009184976958818116</v>
      </c>
      <c r="D354" s="114" t="s">
        <v>2559</v>
      </c>
      <c r="E354" s="114" t="b">
        <v>0</v>
      </c>
      <c r="F354" s="114" t="b">
        <v>0</v>
      </c>
      <c r="G354" s="114" t="b">
        <v>0</v>
      </c>
    </row>
    <row r="355" spans="1:7" ht="15">
      <c r="A355" s="114" t="s">
        <v>2084</v>
      </c>
      <c r="B355" s="114">
        <v>4</v>
      </c>
      <c r="C355" s="116">
        <v>0.0009184976958818116</v>
      </c>
      <c r="D355" s="114" t="s">
        <v>2559</v>
      </c>
      <c r="E355" s="114" t="b">
        <v>0</v>
      </c>
      <c r="F355" s="114" t="b">
        <v>0</v>
      </c>
      <c r="G355" s="114" t="b">
        <v>0</v>
      </c>
    </row>
    <row r="356" spans="1:7" ht="15">
      <c r="A356" s="114" t="s">
        <v>2085</v>
      </c>
      <c r="B356" s="114">
        <v>4</v>
      </c>
      <c r="C356" s="116">
        <v>0.0009184976958818116</v>
      </c>
      <c r="D356" s="114" t="s">
        <v>2559</v>
      </c>
      <c r="E356" s="114" t="b">
        <v>0</v>
      </c>
      <c r="F356" s="114" t="b">
        <v>0</v>
      </c>
      <c r="G356" s="114" t="b">
        <v>0</v>
      </c>
    </row>
    <row r="357" spans="1:7" ht="15">
      <c r="A357" s="114" t="s">
        <v>2086</v>
      </c>
      <c r="B357" s="114">
        <v>4</v>
      </c>
      <c r="C357" s="116">
        <v>0.000981566215118712</v>
      </c>
      <c r="D357" s="114" t="s">
        <v>2559</v>
      </c>
      <c r="E357" s="114" t="b">
        <v>0</v>
      </c>
      <c r="F357" s="114" t="b">
        <v>0</v>
      </c>
      <c r="G357" s="114" t="b">
        <v>0</v>
      </c>
    </row>
    <row r="358" spans="1:7" ht="15">
      <c r="A358" s="114" t="s">
        <v>2087</v>
      </c>
      <c r="B358" s="114">
        <v>4</v>
      </c>
      <c r="C358" s="116">
        <v>0.001070456300457269</v>
      </c>
      <c r="D358" s="114" t="s">
        <v>2559</v>
      </c>
      <c r="E358" s="114" t="b">
        <v>0</v>
      </c>
      <c r="F358" s="114" t="b">
        <v>0</v>
      </c>
      <c r="G358" s="114" t="b">
        <v>0</v>
      </c>
    </row>
    <row r="359" spans="1:7" ht="15">
      <c r="A359" s="114" t="s">
        <v>2088</v>
      </c>
      <c r="B359" s="114">
        <v>4</v>
      </c>
      <c r="C359" s="116">
        <v>0.0012224149050327265</v>
      </c>
      <c r="D359" s="114" t="s">
        <v>2559</v>
      </c>
      <c r="E359" s="114" t="b">
        <v>0</v>
      </c>
      <c r="F359" s="114" t="b">
        <v>0</v>
      </c>
      <c r="G359" s="114" t="b">
        <v>0</v>
      </c>
    </row>
    <row r="360" spans="1:7" ht="15">
      <c r="A360" s="114" t="s">
        <v>2089</v>
      </c>
      <c r="B360" s="114">
        <v>4</v>
      </c>
      <c r="C360" s="116">
        <v>0.0012224149050327265</v>
      </c>
      <c r="D360" s="114" t="s">
        <v>2559</v>
      </c>
      <c r="E360" s="114" t="b">
        <v>0</v>
      </c>
      <c r="F360" s="114" t="b">
        <v>0</v>
      </c>
      <c r="G360" s="114" t="b">
        <v>0</v>
      </c>
    </row>
    <row r="361" spans="1:7" ht="15">
      <c r="A361" s="114" t="s">
        <v>2090</v>
      </c>
      <c r="B361" s="114">
        <v>4</v>
      </c>
      <c r="C361" s="116">
        <v>0.000981566215118712</v>
      </c>
      <c r="D361" s="114" t="s">
        <v>2559</v>
      </c>
      <c r="E361" s="114" t="b">
        <v>0</v>
      </c>
      <c r="F361" s="114" t="b">
        <v>0</v>
      </c>
      <c r="G361" s="114" t="b">
        <v>0</v>
      </c>
    </row>
    <row r="362" spans="1:7" ht="15">
      <c r="A362" s="114" t="s">
        <v>2091</v>
      </c>
      <c r="B362" s="114">
        <v>4</v>
      </c>
      <c r="C362" s="116">
        <v>0.000981566215118712</v>
      </c>
      <c r="D362" s="114" t="s">
        <v>2559</v>
      </c>
      <c r="E362" s="114" t="b">
        <v>0</v>
      </c>
      <c r="F362" s="114" t="b">
        <v>0</v>
      </c>
      <c r="G362" s="114" t="b">
        <v>0</v>
      </c>
    </row>
    <row r="363" spans="1:7" ht="15">
      <c r="A363" s="114" t="s">
        <v>2092</v>
      </c>
      <c r="B363" s="114">
        <v>4</v>
      </c>
      <c r="C363" s="116">
        <v>0.000981566215118712</v>
      </c>
      <c r="D363" s="114" t="s">
        <v>2559</v>
      </c>
      <c r="E363" s="114" t="b">
        <v>1</v>
      </c>
      <c r="F363" s="114" t="b">
        <v>0</v>
      </c>
      <c r="G363" s="114" t="b">
        <v>0</v>
      </c>
    </row>
    <row r="364" spans="1:7" ht="15">
      <c r="A364" s="114" t="s">
        <v>2093</v>
      </c>
      <c r="B364" s="114">
        <v>4</v>
      </c>
      <c r="C364" s="116">
        <v>0.0012224149050327265</v>
      </c>
      <c r="D364" s="114" t="s">
        <v>2559</v>
      </c>
      <c r="E364" s="114" t="b">
        <v>0</v>
      </c>
      <c r="F364" s="114" t="b">
        <v>0</v>
      </c>
      <c r="G364" s="114" t="b">
        <v>0</v>
      </c>
    </row>
    <row r="365" spans="1:7" ht="15">
      <c r="A365" s="114" t="s">
        <v>2094</v>
      </c>
      <c r="B365" s="114">
        <v>4</v>
      </c>
      <c r="C365" s="116">
        <v>0.0012224149050327265</v>
      </c>
      <c r="D365" s="114" t="s">
        <v>2559</v>
      </c>
      <c r="E365" s="114" t="b">
        <v>0</v>
      </c>
      <c r="F365" s="114" t="b">
        <v>0</v>
      </c>
      <c r="G365" s="114" t="b">
        <v>0</v>
      </c>
    </row>
    <row r="366" spans="1:7" ht="15">
      <c r="A366" s="114" t="s">
        <v>2095</v>
      </c>
      <c r="B366" s="114">
        <v>4</v>
      </c>
      <c r="C366" s="116">
        <v>0.0009184976958818116</v>
      </c>
      <c r="D366" s="114" t="s">
        <v>2559</v>
      </c>
      <c r="E366" s="114" t="b">
        <v>0</v>
      </c>
      <c r="F366" s="114" t="b">
        <v>0</v>
      </c>
      <c r="G366" s="114" t="b">
        <v>0</v>
      </c>
    </row>
    <row r="367" spans="1:7" ht="15">
      <c r="A367" s="114" t="s">
        <v>2096</v>
      </c>
      <c r="B367" s="114">
        <v>4</v>
      </c>
      <c r="C367" s="116">
        <v>0.001070456300457269</v>
      </c>
      <c r="D367" s="114" t="s">
        <v>2559</v>
      </c>
      <c r="E367" s="114" t="b">
        <v>1</v>
      </c>
      <c r="F367" s="114" t="b">
        <v>0</v>
      </c>
      <c r="G367" s="114" t="b">
        <v>0</v>
      </c>
    </row>
    <row r="368" spans="1:7" ht="15">
      <c r="A368" s="114" t="s">
        <v>2097</v>
      </c>
      <c r="B368" s="114">
        <v>4</v>
      </c>
      <c r="C368" s="116">
        <v>0.0009184976958818116</v>
      </c>
      <c r="D368" s="114" t="s">
        <v>2559</v>
      </c>
      <c r="E368" s="114" t="b">
        <v>0</v>
      </c>
      <c r="F368" s="114" t="b">
        <v>0</v>
      </c>
      <c r="G368" s="114" t="b">
        <v>0</v>
      </c>
    </row>
    <row r="369" spans="1:7" ht="15">
      <c r="A369" s="114" t="s">
        <v>2098</v>
      </c>
      <c r="B369" s="114">
        <v>4</v>
      </c>
      <c r="C369" s="116">
        <v>0.0009184976958818116</v>
      </c>
      <c r="D369" s="114" t="s">
        <v>2559</v>
      </c>
      <c r="E369" s="114" t="b">
        <v>0</v>
      </c>
      <c r="F369" s="114" t="b">
        <v>0</v>
      </c>
      <c r="G369" s="114" t="b">
        <v>0</v>
      </c>
    </row>
    <row r="370" spans="1:7" ht="15">
      <c r="A370" s="114" t="s">
        <v>2099</v>
      </c>
      <c r="B370" s="114">
        <v>4</v>
      </c>
      <c r="C370" s="116">
        <v>0.001070456300457269</v>
      </c>
      <c r="D370" s="114" t="s">
        <v>2559</v>
      </c>
      <c r="E370" s="114" t="b">
        <v>0</v>
      </c>
      <c r="F370" s="114" t="b">
        <v>0</v>
      </c>
      <c r="G370" s="114" t="b">
        <v>0</v>
      </c>
    </row>
    <row r="371" spans="1:7" ht="15">
      <c r="A371" s="114" t="s">
        <v>2100</v>
      </c>
      <c r="B371" s="114">
        <v>4</v>
      </c>
      <c r="C371" s="116">
        <v>0.0012224149050327265</v>
      </c>
      <c r="D371" s="114" t="s">
        <v>2559</v>
      </c>
      <c r="E371" s="114" t="b">
        <v>0</v>
      </c>
      <c r="F371" s="114" t="b">
        <v>0</v>
      </c>
      <c r="G371" s="114" t="b">
        <v>0</v>
      </c>
    </row>
    <row r="372" spans="1:7" ht="15">
      <c r="A372" s="114" t="s">
        <v>2101</v>
      </c>
      <c r="B372" s="114">
        <v>4</v>
      </c>
      <c r="C372" s="116">
        <v>0.0012224149050327265</v>
      </c>
      <c r="D372" s="114" t="s">
        <v>2559</v>
      </c>
      <c r="E372" s="114" t="b">
        <v>1</v>
      </c>
      <c r="F372" s="114" t="b">
        <v>0</v>
      </c>
      <c r="G372" s="114" t="b">
        <v>0</v>
      </c>
    </row>
    <row r="373" spans="1:7" ht="15">
      <c r="A373" s="114" t="s">
        <v>2102</v>
      </c>
      <c r="B373" s="114">
        <v>4</v>
      </c>
      <c r="C373" s="116">
        <v>0.001070456300457269</v>
      </c>
      <c r="D373" s="114" t="s">
        <v>2559</v>
      </c>
      <c r="E373" s="114" t="b">
        <v>1</v>
      </c>
      <c r="F373" s="114" t="b">
        <v>0</v>
      </c>
      <c r="G373" s="114" t="b">
        <v>0</v>
      </c>
    </row>
    <row r="374" spans="1:7" ht="15">
      <c r="A374" s="114" t="s">
        <v>2103</v>
      </c>
      <c r="B374" s="114">
        <v>4</v>
      </c>
      <c r="C374" s="116">
        <v>0.0012224149050327265</v>
      </c>
      <c r="D374" s="114" t="s">
        <v>2559</v>
      </c>
      <c r="E374" s="114" t="b">
        <v>0</v>
      </c>
      <c r="F374" s="114" t="b">
        <v>0</v>
      </c>
      <c r="G374" s="114" t="b">
        <v>0</v>
      </c>
    </row>
    <row r="375" spans="1:7" ht="15">
      <c r="A375" s="114" t="s">
        <v>2104</v>
      </c>
      <c r="B375" s="114">
        <v>4</v>
      </c>
      <c r="C375" s="116">
        <v>0.0012224149050327265</v>
      </c>
      <c r="D375" s="114" t="s">
        <v>2559</v>
      </c>
      <c r="E375" s="114" t="b">
        <v>0</v>
      </c>
      <c r="F375" s="114" t="b">
        <v>0</v>
      </c>
      <c r="G375" s="114" t="b">
        <v>0</v>
      </c>
    </row>
    <row r="376" spans="1:7" ht="15">
      <c r="A376" s="114" t="s">
        <v>2105</v>
      </c>
      <c r="B376" s="114">
        <v>4</v>
      </c>
      <c r="C376" s="116">
        <v>0.0012224149050327265</v>
      </c>
      <c r="D376" s="114" t="s">
        <v>2559</v>
      </c>
      <c r="E376" s="114" t="b">
        <v>0</v>
      </c>
      <c r="F376" s="114" t="b">
        <v>0</v>
      </c>
      <c r="G376" s="114" t="b">
        <v>0</v>
      </c>
    </row>
    <row r="377" spans="1:7" ht="15">
      <c r="A377" s="114" t="s">
        <v>2106</v>
      </c>
      <c r="B377" s="114">
        <v>4</v>
      </c>
      <c r="C377" s="116">
        <v>0.0009184976958818116</v>
      </c>
      <c r="D377" s="114" t="s">
        <v>2559</v>
      </c>
      <c r="E377" s="114" t="b">
        <v>0</v>
      </c>
      <c r="F377" s="114" t="b">
        <v>0</v>
      </c>
      <c r="G377" s="114" t="b">
        <v>0</v>
      </c>
    </row>
    <row r="378" spans="1:7" ht="15">
      <c r="A378" s="114" t="s">
        <v>2107</v>
      </c>
      <c r="B378" s="114">
        <v>4</v>
      </c>
      <c r="C378" s="116">
        <v>0.0012224149050327265</v>
      </c>
      <c r="D378" s="114" t="s">
        <v>2559</v>
      </c>
      <c r="E378" s="114" t="b">
        <v>0</v>
      </c>
      <c r="F378" s="114" t="b">
        <v>0</v>
      </c>
      <c r="G378" s="114" t="b">
        <v>0</v>
      </c>
    </row>
    <row r="379" spans="1:7" ht="15">
      <c r="A379" s="114" t="s">
        <v>2108</v>
      </c>
      <c r="B379" s="114">
        <v>4</v>
      </c>
      <c r="C379" s="116">
        <v>0.001070456300457269</v>
      </c>
      <c r="D379" s="114" t="s">
        <v>2559</v>
      </c>
      <c r="E379" s="114" t="b">
        <v>0</v>
      </c>
      <c r="F379" s="114" t="b">
        <v>0</v>
      </c>
      <c r="G379" s="114" t="b">
        <v>0</v>
      </c>
    </row>
    <row r="380" spans="1:7" ht="15">
      <c r="A380" s="114" t="s">
        <v>2109</v>
      </c>
      <c r="B380" s="114">
        <v>4</v>
      </c>
      <c r="C380" s="116">
        <v>0.0009184976958818116</v>
      </c>
      <c r="D380" s="114" t="s">
        <v>2559</v>
      </c>
      <c r="E380" s="114" t="b">
        <v>0</v>
      </c>
      <c r="F380" s="114" t="b">
        <v>0</v>
      </c>
      <c r="G380" s="114" t="b">
        <v>0</v>
      </c>
    </row>
    <row r="381" spans="1:7" ht="15">
      <c r="A381" s="114" t="s">
        <v>2110</v>
      </c>
      <c r="B381" s="114">
        <v>4</v>
      </c>
      <c r="C381" s="116">
        <v>0.001070456300457269</v>
      </c>
      <c r="D381" s="114" t="s">
        <v>2559</v>
      </c>
      <c r="E381" s="114" t="b">
        <v>0</v>
      </c>
      <c r="F381" s="114" t="b">
        <v>0</v>
      </c>
      <c r="G381" s="114" t="b">
        <v>0</v>
      </c>
    </row>
    <row r="382" spans="1:7" ht="15">
      <c r="A382" s="114" t="s">
        <v>2111</v>
      </c>
      <c r="B382" s="114">
        <v>4</v>
      </c>
      <c r="C382" s="116">
        <v>0.0012224149050327265</v>
      </c>
      <c r="D382" s="114" t="s">
        <v>2559</v>
      </c>
      <c r="E382" s="114" t="b">
        <v>0</v>
      </c>
      <c r="F382" s="114" t="b">
        <v>0</v>
      </c>
      <c r="G382" s="114" t="b">
        <v>0</v>
      </c>
    </row>
    <row r="383" spans="1:7" ht="15">
      <c r="A383" s="114" t="s">
        <v>2112</v>
      </c>
      <c r="B383" s="114">
        <v>4</v>
      </c>
      <c r="C383" s="116">
        <v>0.001070456300457269</v>
      </c>
      <c r="D383" s="114" t="s">
        <v>2559</v>
      </c>
      <c r="E383" s="114" t="b">
        <v>0</v>
      </c>
      <c r="F383" s="114" t="b">
        <v>0</v>
      </c>
      <c r="G383" s="114" t="b">
        <v>0</v>
      </c>
    </row>
    <row r="384" spans="1:7" ht="15">
      <c r="A384" s="114" t="s">
        <v>2113</v>
      </c>
      <c r="B384" s="114">
        <v>4</v>
      </c>
      <c r="C384" s="116">
        <v>0.0012224149050327265</v>
      </c>
      <c r="D384" s="114" t="s">
        <v>2559</v>
      </c>
      <c r="E384" s="114" t="b">
        <v>0</v>
      </c>
      <c r="F384" s="114" t="b">
        <v>0</v>
      </c>
      <c r="G384" s="114" t="b">
        <v>0</v>
      </c>
    </row>
    <row r="385" spans="1:7" ht="15">
      <c r="A385" s="114" t="s">
        <v>2114</v>
      </c>
      <c r="B385" s="114">
        <v>4</v>
      </c>
      <c r="C385" s="116">
        <v>0.0012224149050327265</v>
      </c>
      <c r="D385" s="114" t="s">
        <v>2559</v>
      </c>
      <c r="E385" s="114" t="b">
        <v>0</v>
      </c>
      <c r="F385" s="114" t="b">
        <v>0</v>
      </c>
      <c r="G385" s="114" t="b">
        <v>0</v>
      </c>
    </row>
    <row r="386" spans="1:7" ht="15">
      <c r="A386" s="114" t="s">
        <v>2115</v>
      </c>
      <c r="B386" s="114">
        <v>4</v>
      </c>
      <c r="C386" s="116">
        <v>0.0012224149050327265</v>
      </c>
      <c r="D386" s="114" t="s">
        <v>2559</v>
      </c>
      <c r="E386" s="114" t="b">
        <v>0</v>
      </c>
      <c r="F386" s="114" t="b">
        <v>0</v>
      </c>
      <c r="G386" s="114" t="b">
        <v>0</v>
      </c>
    </row>
    <row r="387" spans="1:7" ht="15">
      <c r="A387" s="114" t="s">
        <v>2116</v>
      </c>
      <c r="B387" s="114">
        <v>4</v>
      </c>
      <c r="C387" s="116">
        <v>0.0012224149050327265</v>
      </c>
      <c r="D387" s="114" t="s">
        <v>2559</v>
      </c>
      <c r="E387" s="114" t="b">
        <v>0</v>
      </c>
      <c r="F387" s="114" t="b">
        <v>0</v>
      </c>
      <c r="G387" s="114" t="b">
        <v>0</v>
      </c>
    </row>
    <row r="388" spans="1:7" ht="15">
      <c r="A388" s="114" t="s">
        <v>2117</v>
      </c>
      <c r="B388" s="114">
        <v>4</v>
      </c>
      <c r="C388" s="116">
        <v>0.0012224149050327265</v>
      </c>
      <c r="D388" s="114" t="s">
        <v>2559</v>
      </c>
      <c r="E388" s="114" t="b">
        <v>0</v>
      </c>
      <c r="F388" s="114" t="b">
        <v>0</v>
      </c>
      <c r="G388" s="114" t="b">
        <v>0</v>
      </c>
    </row>
    <row r="389" spans="1:7" ht="15">
      <c r="A389" s="114" t="s">
        <v>2118</v>
      </c>
      <c r="B389" s="114">
        <v>4</v>
      </c>
      <c r="C389" s="116">
        <v>0.0012224149050327265</v>
      </c>
      <c r="D389" s="114" t="s">
        <v>2559</v>
      </c>
      <c r="E389" s="114" t="b">
        <v>0</v>
      </c>
      <c r="F389" s="114" t="b">
        <v>0</v>
      </c>
      <c r="G389" s="114" t="b">
        <v>0</v>
      </c>
    </row>
    <row r="390" spans="1:7" ht="15">
      <c r="A390" s="114" t="s">
        <v>2119</v>
      </c>
      <c r="B390" s="114">
        <v>4</v>
      </c>
      <c r="C390" s="116">
        <v>0.0012224149050327265</v>
      </c>
      <c r="D390" s="114" t="s">
        <v>2559</v>
      </c>
      <c r="E390" s="114" t="b">
        <v>0</v>
      </c>
      <c r="F390" s="114" t="b">
        <v>0</v>
      </c>
      <c r="G390" s="114" t="b">
        <v>0</v>
      </c>
    </row>
    <row r="391" spans="1:7" ht="15">
      <c r="A391" s="114" t="s">
        <v>2120</v>
      </c>
      <c r="B391" s="114">
        <v>4</v>
      </c>
      <c r="C391" s="116">
        <v>0.0012224149050327265</v>
      </c>
      <c r="D391" s="114" t="s">
        <v>2559</v>
      </c>
      <c r="E391" s="114" t="b">
        <v>0</v>
      </c>
      <c r="F391" s="114" t="b">
        <v>0</v>
      </c>
      <c r="G391" s="114" t="b">
        <v>0</v>
      </c>
    </row>
    <row r="392" spans="1:7" ht="15">
      <c r="A392" s="114" t="s">
        <v>2121</v>
      </c>
      <c r="B392" s="114">
        <v>4</v>
      </c>
      <c r="C392" s="116">
        <v>0.0012224149050327265</v>
      </c>
      <c r="D392" s="114" t="s">
        <v>2559</v>
      </c>
      <c r="E392" s="114" t="b">
        <v>0</v>
      </c>
      <c r="F392" s="114" t="b">
        <v>0</v>
      </c>
      <c r="G392" s="114" t="b">
        <v>0</v>
      </c>
    </row>
    <row r="393" spans="1:7" ht="15">
      <c r="A393" s="114" t="s">
        <v>2122</v>
      </c>
      <c r="B393" s="114">
        <v>3</v>
      </c>
      <c r="C393" s="116">
        <v>0.000736174661339034</v>
      </c>
      <c r="D393" s="114" t="s">
        <v>2559</v>
      </c>
      <c r="E393" s="114" t="b">
        <v>0</v>
      </c>
      <c r="F393" s="114" t="b">
        <v>0</v>
      </c>
      <c r="G393" s="114" t="b">
        <v>0</v>
      </c>
    </row>
    <row r="394" spans="1:7" ht="15">
      <c r="A394" s="114" t="s">
        <v>2123</v>
      </c>
      <c r="B394" s="114">
        <v>3</v>
      </c>
      <c r="C394" s="116">
        <v>0.000736174661339034</v>
      </c>
      <c r="D394" s="114" t="s">
        <v>2559</v>
      </c>
      <c r="E394" s="114" t="b">
        <v>0</v>
      </c>
      <c r="F394" s="114" t="b">
        <v>0</v>
      </c>
      <c r="G394" s="114" t="b">
        <v>0</v>
      </c>
    </row>
    <row r="395" spans="1:7" ht="15">
      <c r="A395" s="114" t="s">
        <v>2124</v>
      </c>
      <c r="B395" s="114">
        <v>3</v>
      </c>
      <c r="C395" s="116">
        <v>0.000736174661339034</v>
      </c>
      <c r="D395" s="114" t="s">
        <v>2559</v>
      </c>
      <c r="E395" s="114" t="b">
        <v>0</v>
      </c>
      <c r="F395" s="114" t="b">
        <v>0</v>
      </c>
      <c r="G395" s="114" t="b">
        <v>0</v>
      </c>
    </row>
    <row r="396" spans="1:7" ht="15">
      <c r="A396" s="114" t="s">
        <v>2125</v>
      </c>
      <c r="B396" s="114">
        <v>3</v>
      </c>
      <c r="C396" s="116">
        <v>0.000736174661339034</v>
      </c>
      <c r="D396" s="114" t="s">
        <v>2559</v>
      </c>
      <c r="E396" s="114" t="b">
        <v>0</v>
      </c>
      <c r="F396" s="114" t="b">
        <v>0</v>
      </c>
      <c r="G396" s="114" t="b">
        <v>0</v>
      </c>
    </row>
    <row r="397" spans="1:7" ht="15">
      <c r="A397" s="114" t="s">
        <v>2126</v>
      </c>
      <c r="B397" s="114">
        <v>3</v>
      </c>
      <c r="C397" s="116">
        <v>0.000736174661339034</v>
      </c>
      <c r="D397" s="114" t="s">
        <v>2559</v>
      </c>
      <c r="E397" s="114" t="b">
        <v>0</v>
      </c>
      <c r="F397" s="114" t="b">
        <v>1</v>
      </c>
      <c r="G397" s="114" t="b">
        <v>0</v>
      </c>
    </row>
    <row r="398" spans="1:7" ht="15">
      <c r="A398" s="114" t="s">
        <v>2127</v>
      </c>
      <c r="B398" s="114">
        <v>3</v>
      </c>
      <c r="C398" s="116">
        <v>0.0008028422253429518</v>
      </c>
      <c r="D398" s="114" t="s">
        <v>2559</v>
      </c>
      <c r="E398" s="114" t="b">
        <v>0</v>
      </c>
      <c r="F398" s="114" t="b">
        <v>0</v>
      </c>
      <c r="G398" s="114" t="b">
        <v>0</v>
      </c>
    </row>
    <row r="399" spans="1:7" ht="15">
      <c r="A399" s="114" t="s">
        <v>2128</v>
      </c>
      <c r="B399" s="114">
        <v>3</v>
      </c>
      <c r="C399" s="116">
        <v>0.000736174661339034</v>
      </c>
      <c r="D399" s="114" t="s">
        <v>2559</v>
      </c>
      <c r="E399" s="114" t="b">
        <v>0</v>
      </c>
      <c r="F399" s="114" t="b">
        <v>0</v>
      </c>
      <c r="G399" s="114" t="b">
        <v>0</v>
      </c>
    </row>
    <row r="400" spans="1:7" ht="15">
      <c r="A400" s="114" t="s">
        <v>2129</v>
      </c>
      <c r="B400" s="114">
        <v>3</v>
      </c>
      <c r="C400" s="116">
        <v>0.000736174661339034</v>
      </c>
      <c r="D400" s="114" t="s">
        <v>2559</v>
      </c>
      <c r="E400" s="114" t="b">
        <v>0</v>
      </c>
      <c r="F400" s="114" t="b">
        <v>0</v>
      </c>
      <c r="G400" s="114" t="b">
        <v>0</v>
      </c>
    </row>
    <row r="401" spans="1:7" ht="15">
      <c r="A401" s="114" t="s">
        <v>2130</v>
      </c>
      <c r="B401" s="114">
        <v>3</v>
      </c>
      <c r="C401" s="116">
        <v>0.000736174661339034</v>
      </c>
      <c r="D401" s="114" t="s">
        <v>2559</v>
      </c>
      <c r="E401" s="114" t="b">
        <v>0</v>
      </c>
      <c r="F401" s="114" t="b">
        <v>0</v>
      </c>
      <c r="G401" s="114" t="b">
        <v>0</v>
      </c>
    </row>
    <row r="402" spans="1:7" ht="15">
      <c r="A402" s="114" t="s">
        <v>2131</v>
      </c>
      <c r="B402" s="114">
        <v>3</v>
      </c>
      <c r="C402" s="116">
        <v>0.000736174661339034</v>
      </c>
      <c r="D402" s="114" t="s">
        <v>2559</v>
      </c>
      <c r="E402" s="114" t="b">
        <v>0</v>
      </c>
      <c r="F402" s="114" t="b">
        <v>0</v>
      </c>
      <c r="G402" s="114" t="b">
        <v>0</v>
      </c>
    </row>
    <row r="403" spans="1:7" ht="15">
      <c r="A403" s="114" t="s">
        <v>2132</v>
      </c>
      <c r="B403" s="114">
        <v>3</v>
      </c>
      <c r="C403" s="116">
        <v>0.000736174661339034</v>
      </c>
      <c r="D403" s="114" t="s">
        <v>2559</v>
      </c>
      <c r="E403" s="114" t="b">
        <v>0</v>
      </c>
      <c r="F403" s="114" t="b">
        <v>0</v>
      </c>
      <c r="G403" s="114" t="b">
        <v>0</v>
      </c>
    </row>
    <row r="404" spans="1:7" ht="15">
      <c r="A404" s="114" t="s">
        <v>2133</v>
      </c>
      <c r="B404" s="114">
        <v>3</v>
      </c>
      <c r="C404" s="116">
        <v>0.000736174661339034</v>
      </c>
      <c r="D404" s="114" t="s">
        <v>2559</v>
      </c>
      <c r="E404" s="114" t="b">
        <v>0</v>
      </c>
      <c r="F404" s="114" t="b">
        <v>0</v>
      </c>
      <c r="G404" s="114" t="b">
        <v>0</v>
      </c>
    </row>
    <row r="405" spans="1:7" ht="15">
      <c r="A405" s="114" t="s">
        <v>2134</v>
      </c>
      <c r="B405" s="114">
        <v>3</v>
      </c>
      <c r="C405" s="116">
        <v>0.0008028422253429518</v>
      </c>
      <c r="D405" s="114" t="s">
        <v>2559</v>
      </c>
      <c r="E405" s="114" t="b">
        <v>0</v>
      </c>
      <c r="F405" s="114" t="b">
        <v>0</v>
      </c>
      <c r="G405" s="114" t="b">
        <v>0</v>
      </c>
    </row>
    <row r="406" spans="1:7" ht="15">
      <c r="A406" s="114" t="s">
        <v>2135</v>
      </c>
      <c r="B406" s="114">
        <v>3</v>
      </c>
      <c r="C406" s="116">
        <v>0.000736174661339034</v>
      </c>
      <c r="D406" s="114" t="s">
        <v>2559</v>
      </c>
      <c r="E406" s="114" t="b">
        <v>0</v>
      </c>
      <c r="F406" s="114" t="b">
        <v>1</v>
      </c>
      <c r="G406" s="114" t="b">
        <v>0</v>
      </c>
    </row>
    <row r="407" spans="1:7" ht="15">
      <c r="A407" s="114" t="s">
        <v>2136</v>
      </c>
      <c r="B407" s="114">
        <v>3</v>
      </c>
      <c r="C407" s="116">
        <v>0.0008028422253429518</v>
      </c>
      <c r="D407" s="114" t="s">
        <v>2559</v>
      </c>
      <c r="E407" s="114" t="b">
        <v>0</v>
      </c>
      <c r="F407" s="114" t="b">
        <v>1</v>
      </c>
      <c r="G407" s="114" t="b">
        <v>0</v>
      </c>
    </row>
    <row r="408" spans="1:7" ht="15">
      <c r="A408" s="114" t="s">
        <v>2137</v>
      </c>
      <c r="B408" s="114">
        <v>3</v>
      </c>
      <c r="C408" s="116">
        <v>0.000736174661339034</v>
      </c>
      <c r="D408" s="114" t="s">
        <v>2559</v>
      </c>
      <c r="E408" s="114" t="b">
        <v>0</v>
      </c>
      <c r="F408" s="114" t="b">
        <v>0</v>
      </c>
      <c r="G408" s="114" t="b">
        <v>0</v>
      </c>
    </row>
    <row r="409" spans="1:7" ht="15">
      <c r="A409" s="114" t="s">
        <v>2138</v>
      </c>
      <c r="B409" s="114">
        <v>3</v>
      </c>
      <c r="C409" s="116">
        <v>0.000736174661339034</v>
      </c>
      <c r="D409" s="114" t="s">
        <v>2559</v>
      </c>
      <c r="E409" s="114" t="b">
        <v>0</v>
      </c>
      <c r="F409" s="114" t="b">
        <v>0</v>
      </c>
      <c r="G409" s="114" t="b">
        <v>0</v>
      </c>
    </row>
    <row r="410" spans="1:7" ht="15">
      <c r="A410" s="114" t="s">
        <v>2139</v>
      </c>
      <c r="B410" s="114">
        <v>3</v>
      </c>
      <c r="C410" s="116">
        <v>0.0008028422253429518</v>
      </c>
      <c r="D410" s="114" t="s">
        <v>2559</v>
      </c>
      <c r="E410" s="114" t="b">
        <v>0</v>
      </c>
      <c r="F410" s="114" t="b">
        <v>0</v>
      </c>
      <c r="G410" s="114" t="b">
        <v>0</v>
      </c>
    </row>
    <row r="411" spans="1:7" ht="15">
      <c r="A411" s="114" t="s">
        <v>2140</v>
      </c>
      <c r="B411" s="114">
        <v>3</v>
      </c>
      <c r="C411" s="116">
        <v>0.0009168111787745449</v>
      </c>
      <c r="D411" s="114" t="s">
        <v>2559</v>
      </c>
      <c r="E411" s="114" t="b">
        <v>0</v>
      </c>
      <c r="F411" s="114" t="b">
        <v>0</v>
      </c>
      <c r="G411" s="114" t="b">
        <v>0</v>
      </c>
    </row>
    <row r="412" spans="1:7" ht="15">
      <c r="A412" s="114" t="s">
        <v>2141</v>
      </c>
      <c r="B412" s="114">
        <v>3</v>
      </c>
      <c r="C412" s="116">
        <v>0.000736174661339034</v>
      </c>
      <c r="D412" s="114" t="s">
        <v>2559</v>
      </c>
      <c r="E412" s="114" t="b">
        <v>0</v>
      </c>
      <c r="F412" s="114" t="b">
        <v>0</v>
      </c>
      <c r="G412" s="114" t="b">
        <v>0</v>
      </c>
    </row>
    <row r="413" spans="1:7" ht="15">
      <c r="A413" s="114" t="s">
        <v>2142</v>
      </c>
      <c r="B413" s="114">
        <v>3</v>
      </c>
      <c r="C413" s="116">
        <v>0.0009168111787745449</v>
      </c>
      <c r="D413" s="114" t="s">
        <v>2559</v>
      </c>
      <c r="E413" s="114" t="b">
        <v>0</v>
      </c>
      <c r="F413" s="114" t="b">
        <v>0</v>
      </c>
      <c r="G413" s="114" t="b">
        <v>0</v>
      </c>
    </row>
    <row r="414" spans="1:7" ht="15">
      <c r="A414" s="114" t="s">
        <v>2143</v>
      </c>
      <c r="B414" s="114">
        <v>3</v>
      </c>
      <c r="C414" s="116">
        <v>0.0008028422253429518</v>
      </c>
      <c r="D414" s="114" t="s">
        <v>2559</v>
      </c>
      <c r="E414" s="114" t="b">
        <v>0</v>
      </c>
      <c r="F414" s="114" t="b">
        <v>0</v>
      </c>
      <c r="G414" s="114" t="b">
        <v>0</v>
      </c>
    </row>
    <row r="415" spans="1:7" ht="15">
      <c r="A415" s="114" t="s">
        <v>2144</v>
      </c>
      <c r="B415" s="114">
        <v>3</v>
      </c>
      <c r="C415" s="116">
        <v>0.0008028422253429518</v>
      </c>
      <c r="D415" s="114" t="s">
        <v>2559</v>
      </c>
      <c r="E415" s="114" t="b">
        <v>0</v>
      </c>
      <c r="F415" s="114" t="b">
        <v>0</v>
      </c>
      <c r="G415" s="114" t="b">
        <v>0</v>
      </c>
    </row>
    <row r="416" spans="1:7" ht="15">
      <c r="A416" s="114" t="s">
        <v>2145</v>
      </c>
      <c r="B416" s="114">
        <v>3</v>
      </c>
      <c r="C416" s="116">
        <v>0.000736174661339034</v>
      </c>
      <c r="D416" s="114" t="s">
        <v>2559</v>
      </c>
      <c r="E416" s="114" t="b">
        <v>0</v>
      </c>
      <c r="F416" s="114" t="b">
        <v>0</v>
      </c>
      <c r="G416" s="114" t="b">
        <v>0</v>
      </c>
    </row>
    <row r="417" spans="1:7" ht="15">
      <c r="A417" s="114" t="s">
        <v>2146</v>
      </c>
      <c r="B417" s="114">
        <v>3</v>
      </c>
      <c r="C417" s="116">
        <v>0.000736174661339034</v>
      </c>
      <c r="D417" s="114" t="s">
        <v>2559</v>
      </c>
      <c r="E417" s="114" t="b">
        <v>0</v>
      </c>
      <c r="F417" s="114" t="b">
        <v>0</v>
      </c>
      <c r="G417" s="114" t="b">
        <v>0</v>
      </c>
    </row>
    <row r="418" spans="1:7" ht="15">
      <c r="A418" s="114" t="s">
        <v>2147</v>
      </c>
      <c r="B418" s="114">
        <v>3</v>
      </c>
      <c r="C418" s="116">
        <v>0.0009168111787745449</v>
      </c>
      <c r="D418" s="114" t="s">
        <v>2559</v>
      </c>
      <c r="E418" s="114" t="b">
        <v>0</v>
      </c>
      <c r="F418" s="114" t="b">
        <v>0</v>
      </c>
      <c r="G418" s="114" t="b">
        <v>0</v>
      </c>
    </row>
    <row r="419" spans="1:7" ht="15">
      <c r="A419" s="114" t="s">
        <v>2148</v>
      </c>
      <c r="B419" s="114">
        <v>3</v>
      </c>
      <c r="C419" s="116">
        <v>0.0008028422253429518</v>
      </c>
      <c r="D419" s="114" t="s">
        <v>2559</v>
      </c>
      <c r="E419" s="114" t="b">
        <v>0</v>
      </c>
      <c r="F419" s="114" t="b">
        <v>0</v>
      </c>
      <c r="G419" s="114" t="b">
        <v>0</v>
      </c>
    </row>
    <row r="420" spans="1:7" ht="15">
      <c r="A420" s="114" t="s">
        <v>2149</v>
      </c>
      <c r="B420" s="114">
        <v>3</v>
      </c>
      <c r="C420" s="116">
        <v>0.0009168111787745449</v>
      </c>
      <c r="D420" s="114" t="s">
        <v>2559</v>
      </c>
      <c r="E420" s="114" t="b">
        <v>0</v>
      </c>
      <c r="F420" s="114" t="b">
        <v>0</v>
      </c>
      <c r="G420" s="114" t="b">
        <v>0</v>
      </c>
    </row>
    <row r="421" spans="1:7" ht="15">
      <c r="A421" s="114" t="s">
        <v>2150</v>
      </c>
      <c r="B421" s="114">
        <v>3</v>
      </c>
      <c r="C421" s="116">
        <v>0.0009168111787745449</v>
      </c>
      <c r="D421" s="114" t="s">
        <v>2559</v>
      </c>
      <c r="E421" s="114" t="b">
        <v>0</v>
      </c>
      <c r="F421" s="114" t="b">
        <v>0</v>
      </c>
      <c r="G421" s="114" t="b">
        <v>0</v>
      </c>
    </row>
    <row r="422" spans="1:7" ht="15">
      <c r="A422" s="114" t="s">
        <v>2151</v>
      </c>
      <c r="B422" s="114">
        <v>3</v>
      </c>
      <c r="C422" s="116">
        <v>0.0008028422253429518</v>
      </c>
      <c r="D422" s="114" t="s">
        <v>2559</v>
      </c>
      <c r="E422" s="114" t="b">
        <v>0</v>
      </c>
      <c r="F422" s="114" t="b">
        <v>0</v>
      </c>
      <c r="G422" s="114" t="b">
        <v>0</v>
      </c>
    </row>
    <row r="423" spans="1:7" ht="15">
      <c r="A423" s="114" t="s">
        <v>2152</v>
      </c>
      <c r="B423" s="114">
        <v>3</v>
      </c>
      <c r="C423" s="116">
        <v>0.000736174661339034</v>
      </c>
      <c r="D423" s="114" t="s">
        <v>2559</v>
      </c>
      <c r="E423" s="114" t="b">
        <v>0</v>
      </c>
      <c r="F423" s="114" t="b">
        <v>0</v>
      </c>
      <c r="G423" s="114" t="b">
        <v>0</v>
      </c>
    </row>
    <row r="424" spans="1:7" ht="15">
      <c r="A424" s="114" t="s">
        <v>2153</v>
      </c>
      <c r="B424" s="114">
        <v>3</v>
      </c>
      <c r="C424" s="116">
        <v>0.0009168111787745449</v>
      </c>
      <c r="D424" s="114" t="s">
        <v>2559</v>
      </c>
      <c r="E424" s="114" t="b">
        <v>0</v>
      </c>
      <c r="F424" s="114" t="b">
        <v>0</v>
      </c>
      <c r="G424" s="114" t="b">
        <v>0</v>
      </c>
    </row>
    <row r="425" spans="1:7" ht="15">
      <c r="A425" s="114" t="s">
        <v>2154</v>
      </c>
      <c r="B425" s="114">
        <v>3</v>
      </c>
      <c r="C425" s="116">
        <v>0.0009168111787745449</v>
      </c>
      <c r="D425" s="114" t="s">
        <v>2559</v>
      </c>
      <c r="E425" s="114" t="b">
        <v>0</v>
      </c>
      <c r="F425" s="114" t="b">
        <v>0</v>
      </c>
      <c r="G425" s="114" t="b">
        <v>0</v>
      </c>
    </row>
    <row r="426" spans="1:7" ht="15">
      <c r="A426" s="114" t="s">
        <v>2155</v>
      </c>
      <c r="B426" s="114">
        <v>3</v>
      </c>
      <c r="C426" s="116">
        <v>0.000736174661339034</v>
      </c>
      <c r="D426" s="114" t="s">
        <v>2559</v>
      </c>
      <c r="E426" s="114" t="b">
        <v>0</v>
      </c>
      <c r="F426" s="114" t="b">
        <v>0</v>
      </c>
      <c r="G426" s="114" t="b">
        <v>0</v>
      </c>
    </row>
    <row r="427" spans="1:7" ht="15">
      <c r="A427" s="114" t="s">
        <v>2156</v>
      </c>
      <c r="B427" s="114">
        <v>3</v>
      </c>
      <c r="C427" s="116">
        <v>0.0008028422253429518</v>
      </c>
      <c r="D427" s="114" t="s">
        <v>2559</v>
      </c>
      <c r="E427" s="114" t="b">
        <v>0</v>
      </c>
      <c r="F427" s="114" t="b">
        <v>0</v>
      </c>
      <c r="G427" s="114" t="b">
        <v>0</v>
      </c>
    </row>
    <row r="428" spans="1:7" ht="15">
      <c r="A428" s="114" t="s">
        <v>2157</v>
      </c>
      <c r="B428" s="114">
        <v>3</v>
      </c>
      <c r="C428" s="116">
        <v>0.0009168111787745449</v>
      </c>
      <c r="D428" s="114" t="s">
        <v>2559</v>
      </c>
      <c r="E428" s="114" t="b">
        <v>0</v>
      </c>
      <c r="F428" s="114" t="b">
        <v>0</v>
      </c>
      <c r="G428" s="114" t="b">
        <v>0</v>
      </c>
    </row>
    <row r="429" spans="1:7" ht="15">
      <c r="A429" s="114" t="s">
        <v>2158</v>
      </c>
      <c r="B429" s="114">
        <v>3</v>
      </c>
      <c r="C429" s="116">
        <v>0.000736174661339034</v>
      </c>
      <c r="D429" s="114" t="s">
        <v>2559</v>
      </c>
      <c r="E429" s="114" t="b">
        <v>0</v>
      </c>
      <c r="F429" s="114" t="b">
        <v>0</v>
      </c>
      <c r="G429" s="114" t="b">
        <v>0</v>
      </c>
    </row>
    <row r="430" spans="1:7" ht="15">
      <c r="A430" s="114" t="s">
        <v>2159</v>
      </c>
      <c r="B430" s="114">
        <v>3</v>
      </c>
      <c r="C430" s="116">
        <v>0.0008028422253429518</v>
      </c>
      <c r="D430" s="114" t="s">
        <v>2559</v>
      </c>
      <c r="E430" s="114" t="b">
        <v>0</v>
      </c>
      <c r="F430" s="114" t="b">
        <v>0</v>
      </c>
      <c r="G430" s="114" t="b">
        <v>0</v>
      </c>
    </row>
    <row r="431" spans="1:7" ht="15">
      <c r="A431" s="114" t="s">
        <v>2160</v>
      </c>
      <c r="B431" s="114">
        <v>3</v>
      </c>
      <c r="C431" s="116">
        <v>0.0008028422253429518</v>
      </c>
      <c r="D431" s="114" t="s">
        <v>2559</v>
      </c>
      <c r="E431" s="114" t="b">
        <v>0</v>
      </c>
      <c r="F431" s="114" t="b">
        <v>0</v>
      </c>
      <c r="G431" s="114" t="b">
        <v>0</v>
      </c>
    </row>
    <row r="432" spans="1:7" ht="15">
      <c r="A432" s="114" t="s">
        <v>2161</v>
      </c>
      <c r="B432" s="114">
        <v>3</v>
      </c>
      <c r="C432" s="116">
        <v>0.000736174661339034</v>
      </c>
      <c r="D432" s="114" t="s">
        <v>2559</v>
      </c>
      <c r="E432" s="114" t="b">
        <v>0</v>
      </c>
      <c r="F432" s="114" t="b">
        <v>0</v>
      </c>
      <c r="G432" s="114" t="b">
        <v>0</v>
      </c>
    </row>
    <row r="433" spans="1:7" ht="15">
      <c r="A433" s="114" t="s">
        <v>2162</v>
      </c>
      <c r="B433" s="114">
        <v>3</v>
      </c>
      <c r="C433" s="116">
        <v>0.000736174661339034</v>
      </c>
      <c r="D433" s="114" t="s">
        <v>2559</v>
      </c>
      <c r="E433" s="114" t="b">
        <v>0</v>
      </c>
      <c r="F433" s="114" t="b">
        <v>0</v>
      </c>
      <c r="G433" s="114" t="b">
        <v>0</v>
      </c>
    </row>
    <row r="434" spans="1:7" ht="15">
      <c r="A434" s="114" t="s">
        <v>2163</v>
      </c>
      <c r="B434" s="114">
        <v>3</v>
      </c>
      <c r="C434" s="116">
        <v>0.000736174661339034</v>
      </c>
      <c r="D434" s="114" t="s">
        <v>2559</v>
      </c>
      <c r="E434" s="114" t="b">
        <v>0</v>
      </c>
      <c r="F434" s="114" t="b">
        <v>0</v>
      </c>
      <c r="G434" s="114" t="b">
        <v>0</v>
      </c>
    </row>
    <row r="435" spans="1:7" ht="15">
      <c r="A435" s="114" t="s">
        <v>2164</v>
      </c>
      <c r="B435" s="114">
        <v>3</v>
      </c>
      <c r="C435" s="116">
        <v>0.000736174661339034</v>
      </c>
      <c r="D435" s="114" t="s">
        <v>2559</v>
      </c>
      <c r="E435" s="114" t="b">
        <v>0</v>
      </c>
      <c r="F435" s="114" t="b">
        <v>0</v>
      </c>
      <c r="G435" s="114" t="b">
        <v>0</v>
      </c>
    </row>
    <row r="436" spans="1:7" ht="15">
      <c r="A436" s="114" t="s">
        <v>2165</v>
      </c>
      <c r="B436" s="114">
        <v>3</v>
      </c>
      <c r="C436" s="116">
        <v>0.000736174661339034</v>
      </c>
      <c r="D436" s="114" t="s">
        <v>2559</v>
      </c>
      <c r="E436" s="114" t="b">
        <v>0</v>
      </c>
      <c r="F436" s="114" t="b">
        <v>0</v>
      </c>
      <c r="G436" s="114" t="b">
        <v>0</v>
      </c>
    </row>
    <row r="437" spans="1:7" ht="15">
      <c r="A437" s="114" t="s">
        <v>2166</v>
      </c>
      <c r="B437" s="114">
        <v>3</v>
      </c>
      <c r="C437" s="116">
        <v>0.000736174661339034</v>
      </c>
      <c r="D437" s="114" t="s">
        <v>2559</v>
      </c>
      <c r="E437" s="114" t="b">
        <v>0</v>
      </c>
      <c r="F437" s="114" t="b">
        <v>0</v>
      </c>
      <c r="G437" s="114" t="b">
        <v>0</v>
      </c>
    </row>
    <row r="438" spans="1:7" ht="15">
      <c r="A438" s="114" t="s">
        <v>2167</v>
      </c>
      <c r="B438" s="114">
        <v>3</v>
      </c>
      <c r="C438" s="116">
        <v>0.0009168111787745449</v>
      </c>
      <c r="D438" s="114" t="s">
        <v>2559</v>
      </c>
      <c r="E438" s="114" t="b">
        <v>0</v>
      </c>
      <c r="F438" s="114" t="b">
        <v>1</v>
      </c>
      <c r="G438" s="114" t="b">
        <v>0</v>
      </c>
    </row>
    <row r="439" spans="1:7" ht="15">
      <c r="A439" s="114" t="s">
        <v>2168</v>
      </c>
      <c r="B439" s="114">
        <v>3</v>
      </c>
      <c r="C439" s="116">
        <v>0.000736174661339034</v>
      </c>
      <c r="D439" s="114" t="s">
        <v>2559</v>
      </c>
      <c r="E439" s="114" t="b">
        <v>0</v>
      </c>
      <c r="F439" s="114" t="b">
        <v>0</v>
      </c>
      <c r="G439" s="114" t="b">
        <v>0</v>
      </c>
    </row>
    <row r="440" spans="1:7" ht="15">
      <c r="A440" s="114" t="s">
        <v>2169</v>
      </c>
      <c r="B440" s="114">
        <v>3</v>
      </c>
      <c r="C440" s="116">
        <v>0.000736174661339034</v>
      </c>
      <c r="D440" s="114" t="s">
        <v>2559</v>
      </c>
      <c r="E440" s="114" t="b">
        <v>0</v>
      </c>
      <c r="F440" s="114" t="b">
        <v>0</v>
      </c>
      <c r="G440" s="114" t="b">
        <v>0</v>
      </c>
    </row>
    <row r="441" spans="1:7" ht="15">
      <c r="A441" s="114" t="s">
        <v>2170</v>
      </c>
      <c r="B441" s="114">
        <v>3</v>
      </c>
      <c r="C441" s="116">
        <v>0.000736174661339034</v>
      </c>
      <c r="D441" s="114" t="s">
        <v>2559</v>
      </c>
      <c r="E441" s="114" t="b">
        <v>0</v>
      </c>
      <c r="F441" s="114" t="b">
        <v>0</v>
      </c>
      <c r="G441" s="114" t="b">
        <v>0</v>
      </c>
    </row>
    <row r="442" spans="1:7" ht="15">
      <c r="A442" s="114" t="s">
        <v>2171</v>
      </c>
      <c r="B442" s="114">
        <v>3</v>
      </c>
      <c r="C442" s="116">
        <v>0.0008028422253429518</v>
      </c>
      <c r="D442" s="114" t="s">
        <v>2559</v>
      </c>
      <c r="E442" s="114" t="b">
        <v>0</v>
      </c>
      <c r="F442" s="114" t="b">
        <v>0</v>
      </c>
      <c r="G442" s="114" t="b">
        <v>0</v>
      </c>
    </row>
    <row r="443" spans="1:7" ht="15">
      <c r="A443" s="114" t="s">
        <v>2172</v>
      </c>
      <c r="B443" s="114">
        <v>3</v>
      </c>
      <c r="C443" s="116">
        <v>0.000736174661339034</v>
      </c>
      <c r="D443" s="114" t="s">
        <v>2559</v>
      </c>
      <c r="E443" s="114" t="b">
        <v>0</v>
      </c>
      <c r="F443" s="114" t="b">
        <v>0</v>
      </c>
      <c r="G443" s="114" t="b">
        <v>0</v>
      </c>
    </row>
    <row r="444" spans="1:7" ht="15">
      <c r="A444" s="114" t="s">
        <v>2173</v>
      </c>
      <c r="B444" s="114">
        <v>3</v>
      </c>
      <c r="C444" s="116">
        <v>0.0008028422253429518</v>
      </c>
      <c r="D444" s="114" t="s">
        <v>2559</v>
      </c>
      <c r="E444" s="114" t="b">
        <v>0</v>
      </c>
      <c r="F444" s="114" t="b">
        <v>0</v>
      </c>
      <c r="G444" s="114" t="b">
        <v>0</v>
      </c>
    </row>
    <row r="445" spans="1:7" ht="15">
      <c r="A445" s="114" t="s">
        <v>2174</v>
      </c>
      <c r="B445" s="114">
        <v>3</v>
      </c>
      <c r="C445" s="116">
        <v>0.000736174661339034</v>
      </c>
      <c r="D445" s="114" t="s">
        <v>2559</v>
      </c>
      <c r="E445" s="114" t="b">
        <v>0</v>
      </c>
      <c r="F445" s="114" t="b">
        <v>0</v>
      </c>
      <c r="G445" s="114" t="b">
        <v>0</v>
      </c>
    </row>
    <row r="446" spans="1:7" ht="15">
      <c r="A446" s="114" t="s">
        <v>2175</v>
      </c>
      <c r="B446" s="114">
        <v>3</v>
      </c>
      <c r="C446" s="116">
        <v>0.000736174661339034</v>
      </c>
      <c r="D446" s="114" t="s">
        <v>2559</v>
      </c>
      <c r="E446" s="114" t="b">
        <v>0</v>
      </c>
      <c r="F446" s="114" t="b">
        <v>0</v>
      </c>
      <c r="G446" s="114" t="b">
        <v>0</v>
      </c>
    </row>
    <row r="447" spans="1:7" ht="15">
      <c r="A447" s="114" t="s">
        <v>2176</v>
      </c>
      <c r="B447" s="114">
        <v>3</v>
      </c>
      <c r="C447" s="116">
        <v>0.000736174661339034</v>
      </c>
      <c r="D447" s="114" t="s">
        <v>2559</v>
      </c>
      <c r="E447" s="114" t="b">
        <v>0</v>
      </c>
      <c r="F447" s="114" t="b">
        <v>0</v>
      </c>
      <c r="G447" s="114" t="b">
        <v>0</v>
      </c>
    </row>
    <row r="448" spans="1:7" ht="15">
      <c r="A448" s="114" t="s">
        <v>2177</v>
      </c>
      <c r="B448" s="114">
        <v>3</v>
      </c>
      <c r="C448" s="116">
        <v>0.000736174661339034</v>
      </c>
      <c r="D448" s="114" t="s">
        <v>2559</v>
      </c>
      <c r="E448" s="114" t="b">
        <v>0</v>
      </c>
      <c r="F448" s="114" t="b">
        <v>0</v>
      </c>
      <c r="G448" s="114" t="b">
        <v>0</v>
      </c>
    </row>
    <row r="449" spans="1:7" ht="15">
      <c r="A449" s="114" t="s">
        <v>2178</v>
      </c>
      <c r="B449" s="114">
        <v>3</v>
      </c>
      <c r="C449" s="116">
        <v>0.0009168111787745449</v>
      </c>
      <c r="D449" s="114" t="s">
        <v>2559</v>
      </c>
      <c r="E449" s="114" t="b">
        <v>0</v>
      </c>
      <c r="F449" s="114" t="b">
        <v>0</v>
      </c>
      <c r="G449" s="114" t="b">
        <v>0</v>
      </c>
    </row>
    <row r="450" spans="1:7" ht="15">
      <c r="A450" s="114" t="s">
        <v>2179</v>
      </c>
      <c r="B450" s="114">
        <v>3</v>
      </c>
      <c r="C450" s="116">
        <v>0.0009168111787745449</v>
      </c>
      <c r="D450" s="114" t="s">
        <v>2559</v>
      </c>
      <c r="E450" s="114" t="b">
        <v>0</v>
      </c>
      <c r="F450" s="114" t="b">
        <v>0</v>
      </c>
      <c r="G450" s="114" t="b">
        <v>0</v>
      </c>
    </row>
    <row r="451" spans="1:7" ht="15">
      <c r="A451" s="114" t="s">
        <v>2180</v>
      </c>
      <c r="B451" s="114">
        <v>3</v>
      </c>
      <c r="C451" s="116">
        <v>0.000736174661339034</v>
      </c>
      <c r="D451" s="114" t="s">
        <v>2559</v>
      </c>
      <c r="E451" s="114" t="b">
        <v>0</v>
      </c>
      <c r="F451" s="114" t="b">
        <v>0</v>
      </c>
      <c r="G451" s="114" t="b">
        <v>0</v>
      </c>
    </row>
    <row r="452" spans="1:7" ht="15">
      <c r="A452" s="114" t="s">
        <v>2181</v>
      </c>
      <c r="B452" s="114">
        <v>3</v>
      </c>
      <c r="C452" s="116">
        <v>0.0009168111787745449</v>
      </c>
      <c r="D452" s="114" t="s">
        <v>2559</v>
      </c>
      <c r="E452" s="114" t="b">
        <v>0</v>
      </c>
      <c r="F452" s="114" t="b">
        <v>0</v>
      </c>
      <c r="G452" s="114" t="b">
        <v>0</v>
      </c>
    </row>
    <row r="453" spans="1:7" ht="15">
      <c r="A453" s="114" t="s">
        <v>2182</v>
      </c>
      <c r="B453" s="114">
        <v>3</v>
      </c>
      <c r="C453" s="116">
        <v>0.0009168111787745449</v>
      </c>
      <c r="D453" s="114" t="s">
        <v>2559</v>
      </c>
      <c r="E453" s="114" t="b">
        <v>0</v>
      </c>
      <c r="F453" s="114" t="b">
        <v>0</v>
      </c>
      <c r="G453" s="114" t="b">
        <v>0</v>
      </c>
    </row>
    <row r="454" spans="1:7" ht="15">
      <c r="A454" s="114" t="s">
        <v>2183</v>
      </c>
      <c r="B454" s="114">
        <v>3</v>
      </c>
      <c r="C454" s="116">
        <v>0.0009168111787745449</v>
      </c>
      <c r="D454" s="114" t="s">
        <v>2559</v>
      </c>
      <c r="E454" s="114" t="b">
        <v>0</v>
      </c>
      <c r="F454" s="114" t="b">
        <v>0</v>
      </c>
      <c r="G454" s="114" t="b">
        <v>0</v>
      </c>
    </row>
    <row r="455" spans="1:7" ht="15">
      <c r="A455" s="114" t="s">
        <v>2184</v>
      </c>
      <c r="B455" s="114">
        <v>3</v>
      </c>
      <c r="C455" s="116">
        <v>0.0009168111787745449</v>
      </c>
      <c r="D455" s="114" t="s">
        <v>2559</v>
      </c>
      <c r="E455" s="114" t="b">
        <v>0</v>
      </c>
      <c r="F455" s="114" t="b">
        <v>0</v>
      </c>
      <c r="G455" s="114" t="b">
        <v>0</v>
      </c>
    </row>
    <row r="456" spans="1:7" ht="15">
      <c r="A456" s="114" t="s">
        <v>2185</v>
      </c>
      <c r="B456" s="114">
        <v>3</v>
      </c>
      <c r="C456" s="116">
        <v>0.0008028422253429518</v>
      </c>
      <c r="D456" s="114" t="s">
        <v>2559</v>
      </c>
      <c r="E456" s="114" t="b">
        <v>0</v>
      </c>
      <c r="F456" s="114" t="b">
        <v>0</v>
      </c>
      <c r="G456" s="114" t="b">
        <v>0</v>
      </c>
    </row>
    <row r="457" spans="1:7" ht="15">
      <c r="A457" s="114" t="s">
        <v>2186</v>
      </c>
      <c r="B457" s="114">
        <v>3</v>
      </c>
      <c r="C457" s="116">
        <v>0.000736174661339034</v>
      </c>
      <c r="D457" s="114" t="s">
        <v>2559</v>
      </c>
      <c r="E457" s="114" t="b">
        <v>0</v>
      </c>
      <c r="F457" s="114" t="b">
        <v>0</v>
      </c>
      <c r="G457" s="114" t="b">
        <v>0</v>
      </c>
    </row>
    <row r="458" spans="1:7" ht="15">
      <c r="A458" s="114" t="s">
        <v>2187</v>
      </c>
      <c r="B458" s="114">
        <v>3</v>
      </c>
      <c r="C458" s="116">
        <v>0.0009168111787745449</v>
      </c>
      <c r="D458" s="114" t="s">
        <v>2559</v>
      </c>
      <c r="E458" s="114" t="b">
        <v>0</v>
      </c>
      <c r="F458" s="114" t="b">
        <v>0</v>
      </c>
      <c r="G458" s="114" t="b">
        <v>0</v>
      </c>
    </row>
    <row r="459" spans="1:7" ht="15">
      <c r="A459" s="114" t="s">
        <v>2188</v>
      </c>
      <c r="B459" s="114">
        <v>3</v>
      </c>
      <c r="C459" s="116">
        <v>0.000736174661339034</v>
      </c>
      <c r="D459" s="114" t="s">
        <v>2559</v>
      </c>
      <c r="E459" s="114" t="b">
        <v>0</v>
      </c>
      <c r="F459" s="114" t="b">
        <v>0</v>
      </c>
      <c r="G459" s="114" t="b">
        <v>0</v>
      </c>
    </row>
    <row r="460" spans="1:7" ht="15">
      <c r="A460" s="114" t="s">
        <v>2189</v>
      </c>
      <c r="B460" s="114">
        <v>3</v>
      </c>
      <c r="C460" s="116">
        <v>0.000736174661339034</v>
      </c>
      <c r="D460" s="114" t="s">
        <v>2559</v>
      </c>
      <c r="E460" s="114" t="b">
        <v>0</v>
      </c>
      <c r="F460" s="114" t="b">
        <v>0</v>
      </c>
      <c r="G460" s="114" t="b">
        <v>0</v>
      </c>
    </row>
    <row r="461" spans="1:7" ht="15">
      <c r="A461" s="114" t="s">
        <v>2190</v>
      </c>
      <c r="B461" s="114">
        <v>3</v>
      </c>
      <c r="C461" s="116">
        <v>0.0009168111787745449</v>
      </c>
      <c r="D461" s="114" t="s">
        <v>2559</v>
      </c>
      <c r="E461" s="114" t="b">
        <v>0</v>
      </c>
      <c r="F461" s="114" t="b">
        <v>0</v>
      </c>
      <c r="G461" s="114" t="b">
        <v>0</v>
      </c>
    </row>
    <row r="462" spans="1:7" ht="15">
      <c r="A462" s="114" t="s">
        <v>2191</v>
      </c>
      <c r="B462" s="114">
        <v>3</v>
      </c>
      <c r="C462" s="116">
        <v>0.0009168111787745449</v>
      </c>
      <c r="D462" s="114" t="s">
        <v>2559</v>
      </c>
      <c r="E462" s="114" t="b">
        <v>0</v>
      </c>
      <c r="F462" s="114" t="b">
        <v>0</v>
      </c>
      <c r="G462" s="114" t="b">
        <v>0</v>
      </c>
    </row>
    <row r="463" spans="1:7" ht="15">
      <c r="A463" s="114" t="s">
        <v>2192</v>
      </c>
      <c r="B463" s="114">
        <v>3</v>
      </c>
      <c r="C463" s="116">
        <v>0.0008028422253429518</v>
      </c>
      <c r="D463" s="114" t="s">
        <v>2559</v>
      </c>
      <c r="E463" s="114" t="b">
        <v>0</v>
      </c>
      <c r="F463" s="114" t="b">
        <v>1</v>
      </c>
      <c r="G463" s="114" t="b">
        <v>0</v>
      </c>
    </row>
    <row r="464" spans="1:7" ht="15">
      <c r="A464" s="114" t="s">
        <v>2193</v>
      </c>
      <c r="B464" s="114">
        <v>3</v>
      </c>
      <c r="C464" s="116">
        <v>0.000736174661339034</v>
      </c>
      <c r="D464" s="114" t="s">
        <v>2559</v>
      </c>
      <c r="E464" s="114" t="b">
        <v>0</v>
      </c>
      <c r="F464" s="114" t="b">
        <v>0</v>
      </c>
      <c r="G464" s="114" t="b">
        <v>0</v>
      </c>
    </row>
    <row r="465" spans="1:7" ht="15">
      <c r="A465" s="114" t="s">
        <v>2194</v>
      </c>
      <c r="B465" s="114">
        <v>3</v>
      </c>
      <c r="C465" s="116">
        <v>0.000736174661339034</v>
      </c>
      <c r="D465" s="114" t="s">
        <v>2559</v>
      </c>
      <c r="E465" s="114" t="b">
        <v>0</v>
      </c>
      <c r="F465" s="114" t="b">
        <v>0</v>
      </c>
      <c r="G465" s="114" t="b">
        <v>0</v>
      </c>
    </row>
    <row r="466" spans="1:7" ht="15">
      <c r="A466" s="114" t="s">
        <v>2195</v>
      </c>
      <c r="B466" s="114">
        <v>3</v>
      </c>
      <c r="C466" s="116">
        <v>0.0009168111787745449</v>
      </c>
      <c r="D466" s="114" t="s">
        <v>2559</v>
      </c>
      <c r="E466" s="114" t="b">
        <v>0</v>
      </c>
      <c r="F466" s="114" t="b">
        <v>0</v>
      </c>
      <c r="G466" s="114" t="b">
        <v>0</v>
      </c>
    </row>
    <row r="467" spans="1:7" ht="15">
      <c r="A467" s="114" t="s">
        <v>2196</v>
      </c>
      <c r="B467" s="114">
        <v>3</v>
      </c>
      <c r="C467" s="116">
        <v>0.0009168111787745449</v>
      </c>
      <c r="D467" s="114" t="s">
        <v>2559</v>
      </c>
      <c r="E467" s="114" t="b">
        <v>0</v>
      </c>
      <c r="F467" s="114" t="b">
        <v>0</v>
      </c>
      <c r="G467" s="114" t="b">
        <v>0</v>
      </c>
    </row>
    <row r="468" spans="1:7" ht="15">
      <c r="A468" s="114" t="s">
        <v>2197</v>
      </c>
      <c r="B468" s="114">
        <v>3</v>
      </c>
      <c r="C468" s="116">
        <v>0.000736174661339034</v>
      </c>
      <c r="D468" s="114" t="s">
        <v>2559</v>
      </c>
      <c r="E468" s="114" t="b">
        <v>0</v>
      </c>
      <c r="F468" s="114" t="b">
        <v>0</v>
      </c>
      <c r="G468" s="114" t="b">
        <v>0</v>
      </c>
    </row>
    <row r="469" spans="1:7" ht="15">
      <c r="A469" s="114" t="s">
        <v>2198</v>
      </c>
      <c r="B469" s="114">
        <v>3</v>
      </c>
      <c r="C469" s="116">
        <v>0.0008028422253429518</v>
      </c>
      <c r="D469" s="114" t="s">
        <v>2559</v>
      </c>
      <c r="E469" s="114" t="b">
        <v>0</v>
      </c>
      <c r="F469" s="114" t="b">
        <v>0</v>
      </c>
      <c r="G469" s="114" t="b">
        <v>0</v>
      </c>
    </row>
    <row r="470" spans="1:7" ht="15">
      <c r="A470" s="114" t="s">
        <v>2199</v>
      </c>
      <c r="B470" s="114">
        <v>3</v>
      </c>
      <c r="C470" s="116">
        <v>0.0008028422253429518</v>
      </c>
      <c r="D470" s="114" t="s">
        <v>2559</v>
      </c>
      <c r="E470" s="114" t="b">
        <v>0</v>
      </c>
      <c r="F470" s="114" t="b">
        <v>0</v>
      </c>
      <c r="G470" s="114" t="b">
        <v>0</v>
      </c>
    </row>
    <row r="471" spans="1:7" ht="15">
      <c r="A471" s="114" t="s">
        <v>2200</v>
      </c>
      <c r="B471" s="114">
        <v>3</v>
      </c>
      <c r="C471" s="116">
        <v>0.000736174661339034</v>
      </c>
      <c r="D471" s="114" t="s">
        <v>2559</v>
      </c>
      <c r="E471" s="114" t="b">
        <v>0</v>
      </c>
      <c r="F471" s="114" t="b">
        <v>0</v>
      </c>
      <c r="G471" s="114" t="b">
        <v>0</v>
      </c>
    </row>
    <row r="472" spans="1:7" ht="15">
      <c r="A472" s="114" t="s">
        <v>2201</v>
      </c>
      <c r="B472" s="114">
        <v>3</v>
      </c>
      <c r="C472" s="116">
        <v>0.0009168111787745449</v>
      </c>
      <c r="D472" s="114" t="s">
        <v>2559</v>
      </c>
      <c r="E472" s="114" t="b">
        <v>0</v>
      </c>
      <c r="F472" s="114" t="b">
        <v>0</v>
      </c>
      <c r="G472" s="114" t="b">
        <v>0</v>
      </c>
    </row>
    <row r="473" spans="1:7" ht="15">
      <c r="A473" s="114" t="s">
        <v>2202</v>
      </c>
      <c r="B473" s="114">
        <v>3</v>
      </c>
      <c r="C473" s="116">
        <v>0.0009168111787745449</v>
      </c>
      <c r="D473" s="114" t="s">
        <v>2559</v>
      </c>
      <c r="E473" s="114" t="b">
        <v>0</v>
      </c>
      <c r="F473" s="114" t="b">
        <v>0</v>
      </c>
      <c r="G473" s="114" t="b">
        <v>0</v>
      </c>
    </row>
    <row r="474" spans="1:7" ht="15">
      <c r="A474" s="114" t="s">
        <v>2203</v>
      </c>
      <c r="B474" s="114">
        <v>3</v>
      </c>
      <c r="C474" s="116">
        <v>0.0008028422253429518</v>
      </c>
      <c r="D474" s="114" t="s">
        <v>2559</v>
      </c>
      <c r="E474" s="114" t="b">
        <v>0</v>
      </c>
      <c r="F474" s="114" t="b">
        <v>0</v>
      </c>
      <c r="G474" s="114" t="b">
        <v>0</v>
      </c>
    </row>
    <row r="475" spans="1:7" ht="15">
      <c r="A475" s="114" t="s">
        <v>2204</v>
      </c>
      <c r="B475" s="114">
        <v>3</v>
      </c>
      <c r="C475" s="116">
        <v>0.000736174661339034</v>
      </c>
      <c r="D475" s="114" t="s">
        <v>2559</v>
      </c>
      <c r="E475" s="114" t="b">
        <v>0</v>
      </c>
      <c r="F475" s="114" t="b">
        <v>0</v>
      </c>
      <c r="G475" s="114" t="b">
        <v>0</v>
      </c>
    </row>
    <row r="476" spans="1:7" ht="15">
      <c r="A476" s="114" t="s">
        <v>2205</v>
      </c>
      <c r="B476" s="114">
        <v>3</v>
      </c>
      <c r="C476" s="116">
        <v>0.000736174661339034</v>
      </c>
      <c r="D476" s="114" t="s">
        <v>2559</v>
      </c>
      <c r="E476" s="114" t="b">
        <v>0</v>
      </c>
      <c r="F476" s="114" t="b">
        <v>0</v>
      </c>
      <c r="G476" s="114" t="b">
        <v>0</v>
      </c>
    </row>
    <row r="477" spans="1:7" ht="15">
      <c r="A477" s="114" t="s">
        <v>2206</v>
      </c>
      <c r="B477" s="114">
        <v>3</v>
      </c>
      <c r="C477" s="116">
        <v>0.0009168111787745449</v>
      </c>
      <c r="D477" s="114" t="s">
        <v>2559</v>
      </c>
      <c r="E477" s="114" t="b">
        <v>0</v>
      </c>
      <c r="F477" s="114" t="b">
        <v>0</v>
      </c>
      <c r="G477" s="114" t="b">
        <v>0</v>
      </c>
    </row>
    <row r="478" spans="1:7" ht="15">
      <c r="A478" s="114" t="s">
        <v>2207</v>
      </c>
      <c r="B478" s="114">
        <v>3</v>
      </c>
      <c r="C478" s="116">
        <v>0.0009168111787745449</v>
      </c>
      <c r="D478" s="114" t="s">
        <v>2559</v>
      </c>
      <c r="E478" s="114" t="b">
        <v>0</v>
      </c>
      <c r="F478" s="114" t="b">
        <v>0</v>
      </c>
      <c r="G478" s="114" t="b">
        <v>0</v>
      </c>
    </row>
    <row r="479" spans="1:7" ht="15">
      <c r="A479" s="114" t="s">
        <v>2208</v>
      </c>
      <c r="B479" s="114">
        <v>3</v>
      </c>
      <c r="C479" s="116">
        <v>0.0009168111787745449</v>
      </c>
      <c r="D479" s="114" t="s">
        <v>2559</v>
      </c>
      <c r="E479" s="114" t="b">
        <v>0</v>
      </c>
      <c r="F479" s="114" t="b">
        <v>0</v>
      </c>
      <c r="G479" s="114" t="b">
        <v>0</v>
      </c>
    </row>
    <row r="480" spans="1:7" ht="15">
      <c r="A480" s="114" t="s">
        <v>2209</v>
      </c>
      <c r="B480" s="114">
        <v>3</v>
      </c>
      <c r="C480" s="116">
        <v>0.000736174661339034</v>
      </c>
      <c r="D480" s="114" t="s">
        <v>2559</v>
      </c>
      <c r="E480" s="114" t="b">
        <v>0</v>
      </c>
      <c r="F480" s="114" t="b">
        <v>1</v>
      </c>
      <c r="G480" s="114" t="b">
        <v>0</v>
      </c>
    </row>
    <row r="481" spans="1:7" ht="15">
      <c r="A481" s="114" t="s">
        <v>2210</v>
      </c>
      <c r="B481" s="114">
        <v>3</v>
      </c>
      <c r="C481" s="116">
        <v>0.000736174661339034</v>
      </c>
      <c r="D481" s="114" t="s">
        <v>2559</v>
      </c>
      <c r="E481" s="114" t="b">
        <v>0</v>
      </c>
      <c r="F481" s="114" t="b">
        <v>0</v>
      </c>
      <c r="G481" s="114" t="b">
        <v>0</v>
      </c>
    </row>
    <row r="482" spans="1:7" ht="15">
      <c r="A482" s="114" t="s">
        <v>2211</v>
      </c>
      <c r="B482" s="114">
        <v>3</v>
      </c>
      <c r="C482" s="116">
        <v>0.000736174661339034</v>
      </c>
      <c r="D482" s="114" t="s">
        <v>2559</v>
      </c>
      <c r="E482" s="114" t="b">
        <v>0</v>
      </c>
      <c r="F482" s="114" t="b">
        <v>0</v>
      </c>
      <c r="G482" s="114" t="b">
        <v>0</v>
      </c>
    </row>
    <row r="483" spans="1:7" ht="15">
      <c r="A483" s="114" t="s">
        <v>2212</v>
      </c>
      <c r="B483" s="114">
        <v>3</v>
      </c>
      <c r="C483" s="116">
        <v>0.000736174661339034</v>
      </c>
      <c r="D483" s="114" t="s">
        <v>2559</v>
      </c>
      <c r="E483" s="114" t="b">
        <v>0</v>
      </c>
      <c r="F483" s="114" t="b">
        <v>0</v>
      </c>
      <c r="G483" s="114" t="b">
        <v>0</v>
      </c>
    </row>
    <row r="484" spans="1:7" ht="15">
      <c r="A484" s="114" t="s">
        <v>2213</v>
      </c>
      <c r="B484" s="114">
        <v>3</v>
      </c>
      <c r="C484" s="116">
        <v>0.0009168111787745449</v>
      </c>
      <c r="D484" s="114" t="s">
        <v>2559</v>
      </c>
      <c r="E484" s="114" t="b">
        <v>0</v>
      </c>
      <c r="F484" s="114" t="b">
        <v>0</v>
      </c>
      <c r="G484" s="114" t="b">
        <v>0</v>
      </c>
    </row>
    <row r="485" spans="1:7" ht="15">
      <c r="A485" s="114" t="s">
        <v>2214</v>
      </c>
      <c r="B485" s="114">
        <v>3</v>
      </c>
      <c r="C485" s="116">
        <v>0.0008028422253429518</v>
      </c>
      <c r="D485" s="114" t="s">
        <v>2559</v>
      </c>
      <c r="E485" s="114" t="b">
        <v>0</v>
      </c>
      <c r="F485" s="114" t="b">
        <v>0</v>
      </c>
      <c r="G485" s="114" t="b">
        <v>0</v>
      </c>
    </row>
    <row r="486" spans="1:7" ht="15">
      <c r="A486" s="114" t="s">
        <v>2215</v>
      </c>
      <c r="B486" s="114">
        <v>3</v>
      </c>
      <c r="C486" s="116">
        <v>0.0009168111787745449</v>
      </c>
      <c r="D486" s="114" t="s">
        <v>2559</v>
      </c>
      <c r="E486" s="114" t="b">
        <v>0</v>
      </c>
      <c r="F486" s="114" t="b">
        <v>0</v>
      </c>
      <c r="G486" s="114" t="b">
        <v>0</v>
      </c>
    </row>
    <row r="487" spans="1:7" ht="15">
      <c r="A487" s="114" t="s">
        <v>2216</v>
      </c>
      <c r="B487" s="114">
        <v>3</v>
      </c>
      <c r="C487" s="116">
        <v>0.0009168111787745449</v>
      </c>
      <c r="D487" s="114" t="s">
        <v>2559</v>
      </c>
      <c r="E487" s="114" t="b">
        <v>0</v>
      </c>
      <c r="F487" s="114" t="b">
        <v>0</v>
      </c>
      <c r="G487" s="114" t="b">
        <v>0</v>
      </c>
    </row>
    <row r="488" spans="1:7" ht="15">
      <c r="A488" s="114" t="s">
        <v>2217</v>
      </c>
      <c r="B488" s="114">
        <v>3</v>
      </c>
      <c r="C488" s="116">
        <v>0.0009168111787745449</v>
      </c>
      <c r="D488" s="114" t="s">
        <v>2559</v>
      </c>
      <c r="E488" s="114" t="b">
        <v>0</v>
      </c>
      <c r="F488" s="114" t="b">
        <v>0</v>
      </c>
      <c r="G488" s="114" t="b">
        <v>0</v>
      </c>
    </row>
    <row r="489" spans="1:7" ht="15">
      <c r="A489" s="114" t="s">
        <v>2218</v>
      </c>
      <c r="B489" s="114">
        <v>3</v>
      </c>
      <c r="C489" s="116">
        <v>0.0009168111787745449</v>
      </c>
      <c r="D489" s="114" t="s">
        <v>2559</v>
      </c>
      <c r="E489" s="114" t="b">
        <v>0</v>
      </c>
      <c r="F489" s="114" t="b">
        <v>0</v>
      </c>
      <c r="G489" s="114" t="b">
        <v>0</v>
      </c>
    </row>
    <row r="490" spans="1:7" ht="15">
      <c r="A490" s="114" t="s">
        <v>2219</v>
      </c>
      <c r="B490" s="114">
        <v>3</v>
      </c>
      <c r="C490" s="116">
        <v>0.0008028422253429518</v>
      </c>
      <c r="D490" s="114" t="s">
        <v>2559</v>
      </c>
      <c r="E490" s="114" t="b">
        <v>0</v>
      </c>
      <c r="F490" s="114" t="b">
        <v>0</v>
      </c>
      <c r="G490" s="114" t="b">
        <v>0</v>
      </c>
    </row>
    <row r="491" spans="1:7" ht="15">
      <c r="A491" s="114" t="s">
        <v>2220</v>
      </c>
      <c r="B491" s="114">
        <v>3</v>
      </c>
      <c r="C491" s="116">
        <v>0.0009168111787745449</v>
      </c>
      <c r="D491" s="114" t="s">
        <v>2559</v>
      </c>
      <c r="E491" s="114" t="b">
        <v>0</v>
      </c>
      <c r="F491" s="114" t="b">
        <v>0</v>
      </c>
      <c r="G491" s="114" t="b">
        <v>0</v>
      </c>
    </row>
    <row r="492" spans="1:7" ht="15">
      <c r="A492" s="114" t="s">
        <v>2221</v>
      </c>
      <c r="B492" s="114">
        <v>3</v>
      </c>
      <c r="C492" s="116">
        <v>0.0008028422253429518</v>
      </c>
      <c r="D492" s="114" t="s">
        <v>2559</v>
      </c>
      <c r="E492" s="114" t="b">
        <v>0</v>
      </c>
      <c r="F492" s="114" t="b">
        <v>0</v>
      </c>
      <c r="G492" s="114" t="b">
        <v>0</v>
      </c>
    </row>
    <row r="493" spans="1:7" ht="15">
      <c r="A493" s="114" t="s">
        <v>2222</v>
      </c>
      <c r="B493" s="114">
        <v>3</v>
      </c>
      <c r="C493" s="116">
        <v>0.0008028422253429518</v>
      </c>
      <c r="D493" s="114" t="s">
        <v>2559</v>
      </c>
      <c r="E493" s="114" t="b">
        <v>0</v>
      </c>
      <c r="F493" s="114" t="b">
        <v>0</v>
      </c>
      <c r="G493" s="114" t="b">
        <v>0</v>
      </c>
    </row>
    <row r="494" spans="1:7" ht="15">
      <c r="A494" s="114" t="s">
        <v>2223</v>
      </c>
      <c r="B494" s="114">
        <v>3</v>
      </c>
      <c r="C494" s="116">
        <v>0.0008028422253429518</v>
      </c>
      <c r="D494" s="114" t="s">
        <v>2559</v>
      </c>
      <c r="E494" s="114" t="b">
        <v>0</v>
      </c>
      <c r="F494" s="114" t="b">
        <v>0</v>
      </c>
      <c r="G494" s="114" t="b">
        <v>0</v>
      </c>
    </row>
    <row r="495" spans="1:7" ht="15">
      <c r="A495" s="114" t="s">
        <v>2224</v>
      </c>
      <c r="B495" s="114">
        <v>3</v>
      </c>
      <c r="C495" s="116">
        <v>0.0008028422253429518</v>
      </c>
      <c r="D495" s="114" t="s">
        <v>2559</v>
      </c>
      <c r="E495" s="114" t="b">
        <v>0</v>
      </c>
      <c r="F495" s="114" t="b">
        <v>0</v>
      </c>
      <c r="G495" s="114" t="b">
        <v>0</v>
      </c>
    </row>
    <row r="496" spans="1:7" ht="15">
      <c r="A496" s="114" t="s">
        <v>2225</v>
      </c>
      <c r="B496" s="114">
        <v>3</v>
      </c>
      <c r="C496" s="116">
        <v>0.0009168111787745449</v>
      </c>
      <c r="D496" s="114" t="s">
        <v>2559</v>
      </c>
      <c r="E496" s="114" t="b">
        <v>0</v>
      </c>
      <c r="F496" s="114" t="b">
        <v>0</v>
      </c>
      <c r="G496" s="114" t="b">
        <v>0</v>
      </c>
    </row>
    <row r="497" spans="1:7" ht="15">
      <c r="A497" s="114" t="s">
        <v>2226</v>
      </c>
      <c r="B497" s="114">
        <v>3</v>
      </c>
      <c r="C497" s="116">
        <v>0.0009168111787745449</v>
      </c>
      <c r="D497" s="114" t="s">
        <v>2559</v>
      </c>
      <c r="E497" s="114" t="b">
        <v>0</v>
      </c>
      <c r="F497" s="114" t="b">
        <v>0</v>
      </c>
      <c r="G497" s="114" t="b">
        <v>0</v>
      </c>
    </row>
    <row r="498" spans="1:7" ht="15">
      <c r="A498" s="114" t="s">
        <v>2227</v>
      </c>
      <c r="B498" s="114">
        <v>3</v>
      </c>
      <c r="C498" s="116">
        <v>0.0009168111787745449</v>
      </c>
      <c r="D498" s="114" t="s">
        <v>2559</v>
      </c>
      <c r="E498" s="114" t="b">
        <v>0</v>
      </c>
      <c r="F498" s="114" t="b">
        <v>0</v>
      </c>
      <c r="G498" s="114" t="b">
        <v>0</v>
      </c>
    </row>
    <row r="499" spans="1:7" ht="15">
      <c r="A499" s="114" t="s">
        <v>2228</v>
      </c>
      <c r="B499" s="114">
        <v>3</v>
      </c>
      <c r="C499" s="116">
        <v>0.0009168111787745449</v>
      </c>
      <c r="D499" s="114" t="s">
        <v>2559</v>
      </c>
      <c r="E499" s="114" t="b">
        <v>0</v>
      </c>
      <c r="F499" s="114" t="b">
        <v>0</v>
      </c>
      <c r="G499" s="114" t="b">
        <v>0</v>
      </c>
    </row>
    <row r="500" spans="1:7" ht="15">
      <c r="A500" s="114" t="s">
        <v>2229</v>
      </c>
      <c r="B500" s="114">
        <v>3</v>
      </c>
      <c r="C500" s="116">
        <v>0.0008028422253429518</v>
      </c>
      <c r="D500" s="114" t="s">
        <v>2559</v>
      </c>
      <c r="E500" s="114" t="b">
        <v>0</v>
      </c>
      <c r="F500" s="114" t="b">
        <v>0</v>
      </c>
      <c r="G500" s="114" t="b">
        <v>0</v>
      </c>
    </row>
    <row r="501" spans="1:7" ht="15">
      <c r="A501" s="114" t="s">
        <v>2230</v>
      </c>
      <c r="B501" s="114">
        <v>3</v>
      </c>
      <c r="C501" s="116">
        <v>0.000736174661339034</v>
      </c>
      <c r="D501" s="114" t="s">
        <v>2559</v>
      </c>
      <c r="E501" s="114" t="b">
        <v>0</v>
      </c>
      <c r="F501" s="114" t="b">
        <v>0</v>
      </c>
      <c r="G501" s="114" t="b">
        <v>0</v>
      </c>
    </row>
    <row r="502" spans="1:7" ht="15">
      <c r="A502" s="114" t="s">
        <v>2231</v>
      </c>
      <c r="B502" s="114">
        <v>3</v>
      </c>
      <c r="C502" s="116">
        <v>0.0009168111787745449</v>
      </c>
      <c r="D502" s="114" t="s">
        <v>2559</v>
      </c>
      <c r="E502" s="114" t="b">
        <v>0</v>
      </c>
      <c r="F502" s="114" t="b">
        <v>0</v>
      </c>
      <c r="G502" s="114" t="b">
        <v>0</v>
      </c>
    </row>
    <row r="503" spans="1:7" ht="15">
      <c r="A503" s="114" t="s">
        <v>2232</v>
      </c>
      <c r="B503" s="114">
        <v>3</v>
      </c>
      <c r="C503" s="116">
        <v>0.0009168111787745449</v>
      </c>
      <c r="D503" s="114" t="s">
        <v>2559</v>
      </c>
      <c r="E503" s="114" t="b">
        <v>1</v>
      </c>
      <c r="F503" s="114" t="b">
        <v>0</v>
      </c>
      <c r="G503" s="114" t="b">
        <v>0</v>
      </c>
    </row>
    <row r="504" spans="1:7" ht="15">
      <c r="A504" s="114" t="s">
        <v>2233</v>
      </c>
      <c r="B504" s="114">
        <v>3</v>
      </c>
      <c r="C504" s="116">
        <v>0.000736174661339034</v>
      </c>
      <c r="D504" s="114" t="s">
        <v>2559</v>
      </c>
      <c r="E504" s="114" t="b">
        <v>0</v>
      </c>
      <c r="F504" s="114" t="b">
        <v>0</v>
      </c>
      <c r="G504" s="114" t="b">
        <v>0</v>
      </c>
    </row>
    <row r="505" spans="1:7" ht="15">
      <c r="A505" s="114" t="s">
        <v>2234</v>
      </c>
      <c r="B505" s="114">
        <v>3</v>
      </c>
      <c r="C505" s="116">
        <v>0.0008028422253429518</v>
      </c>
      <c r="D505" s="114" t="s">
        <v>2559</v>
      </c>
      <c r="E505" s="114" t="b">
        <v>0</v>
      </c>
      <c r="F505" s="114" t="b">
        <v>0</v>
      </c>
      <c r="G505" s="114" t="b">
        <v>0</v>
      </c>
    </row>
    <row r="506" spans="1:7" ht="15">
      <c r="A506" s="114" t="s">
        <v>2235</v>
      </c>
      <c r="B506" s="114">
        <v>3</v>
      </c>
      <c r="C506" s="116">
        <v>0.0008028422253429518</v>
      </c>
      <c r="D506" s="114" t="s">
        <v>2559</v>
      </c>
      <c r="E506" s="114" t="b">
        <v>0</v>
      </c>
      <c r="F506" s="114" t="b">
        <v>0</v>
      </c>
      <c r="G506" s="114" t="b">
        <v>0</v>
      </c>
    </row>
    <row r="507" spans="1:7" ht="15">
      <c r="A507" s="114" t="s">
        <v>2236</v>
      </c>
      <c r="B507" s="114">
        <v>3</v>
      </c>
      <c r="C507" s="116">
        <v>0.0008028422253429518</v>
      </c>
      <c r="D507" s="114" t="s">
        <v>2559</v>
      </c>
      <c r="E507" s="114" t="b">
        <v>0</v>
      </c>
      <c r="F507" s="114" t="b">
        <v>1</v>
      </c>
      <c r="G507" s="114" t="b">
        <v>0</v>
      </c>
    </row>
    <row r="508" spans="1:7" ht="15">
      <c r="A508" s="114" t="s">
        <v>2237</v>
      </c>
      <c r="B508" s="114">
        <v>3</v>
      </c>
      <c r="C508" s="116">
        <v>0.0009168111787745449</v>
      </c>
      <c r="D508" s="114" t="s">
        <v>2559</v>
      </c>
      <c r="E508" s="114" t="b">
        <v>1</v>
      </c>
      <c r="F508" s="114" t="b">
        <v>0</v>
      </c>
      <c r="G508" s="114" t="b">
        <v>0</v>
      </c>
    </row>
    <row r="509" spans="1:7" ht="15">
      <c r="A509" s="114" t="s">
        <v>2238</v>
      </c>
      <c r="B509" s="114">
        <v>3</v>
      </c>
      <c r="C509" s="116">
        <v>0.0009168111787745449</v>
      </c>
      <c r="D509" s="114" t="s">
        <v>2559</v>
      </c>
      <c r="E509" s="114" t="b">
        <v>0</v>
      </c>
      <c r="F509" s="114" t="b">
        <v>1</v>
      </c>
      <c r="G509" s="114" t="b">
        <v>0</v>
      </c>
    </row>
    <row r="510" spans="1:7" ht="15">
      <c r="A510" s="114" t="s">
        <v>2239</v>
      </c>
      <c r="B510" s="114">
        <v>3</v>
      </c>
      <c r="C510" s="116">
        <v>0.0008028422253429518</v>
      </c>
      <c r="D510" s="114" t="s">
        <v>2559</v>
      </c>
      <c r="E510" s="114" t="b">
        <v>0</v>
      </c>
      <c r="F510" s="114" t="b">
        <v>0</v>
      </c>
      <c r="G510" s="114" t="b">
        <v>0</v>
      </c>
    </row>
    <row r="511" spans="1:7" ht="15">
      <c r="A511" s="114" t="s">
        <v>2240</v>
      </c>
      <c r="B511" s="114">
        <v>3</v>
      </c>
      <c r="C511" s="116">
        <v>0.0008028422253429518</v>
      </c>
      <c r="D511" s="114" t="s">
        <v>2559</v>
      </c>
      <c r="E511" s="114" t="b">
        <v>0</v>
      </c>
      <c r="F511" s="114" t="b">
        <v>0</v>
      </c>
      <c r="G511" s="114" t="b">
        <v>0</v>
      </c>
    </row>
    <row r="512" spans="1:7" ht="15">
      <c r="A512" s="114" t="s">
        <v>2241</v>
      </c>
      <c r="B512" s="114">
        <v>3</v>
      </c>
      <c r="C512" s="116">
        <v>0.0009168111787745449</v>
      </c>
      <c r="D512" s="114" t="s">
        <v>2559</v>
      </c>
      <c r="E512" s="114" t="b">
        <v>0</v>
      </c>
      <c r="F512" s="114" t="b">
        <v>0</v>
      </c>
      <c r="G512" s="114" t="b">
        <v>0</v>
      </c>
    </row>
    <row r="513" spans="1:7" ht="15">
      <c r="A513" s="114" t="s">
        <v>2242</v>
      </c>
      <c r="B513" s="114">
        <v>3</v>
      </c>
      <c r="C513" s="116">
        <v>0.0008028422253429518</v>
      </c>
      <c r="D513" s="114" t="s">
        <v>2559</v>
      </c>
      <c r="E513" s="114" t="b">
        <v>0</v>
      </c>
      <c r="F513" s="114" t="b">
        <v>0</v>
      </c>
      <c r="G513" s="114" t="b">
        <v>0</v>
      </c>
    </row>
    <row r="514" spans="1:7" ht="15">
      <c r="A514" s="114" t="s">
        <v>2243</v>
      </c>
      <c r="B514" s="114">
        <v>3</v>
      </c>
      <c r="C514" s="116">
        <v>0.0009168111787745449</v>
      </c>
      <c r="D514" s="114" t="s">
        <v>2559</v>
      </c>
      <c r="E514" s="114" t="b">
        <v>0</v>
      </c>
      <c r="F514" s="114" t="b">
        <v>0</v>
      </c>
      <c r="G514" s="114" t="b">
        <v>0</v>
      </c>
    </row>
    <row r="515" spans="1:7" ht="15">
      <c r="A515" s="114" t="s">
        <v>2244</v>
      </c>
      <c r="B515" s="114">
        <v>3</v>
      </c>
      <c r="C515" s="116">
        <v>0.0009168111787745449</v>
      </c>
      <c r="D515" s="114" t="s">
        <v>2559</v>
      </c>
      <c r="E515" s="114" t="b">
        <v>0</v>
      </c>
      <c r="F515" s="114" t="b">
        <v>0</v>
      </c>
      <c r="G515" s="114" t="b">
        <v>0</v>
      </c>
    </row>
    <row r="516" spans="1:7" ht="15">
      <c r="A516" s="114" t="s">
        <v>2245</v>
      </c>
      <c r="B516" s="114">
        <v>3</v>
      </c>
      <c r="C516" s="116">
        <v>0.0008028422253429518</v>
      </c>
      <c r="D516" s="114" t="s">
        <v>2559</v>
      </c>
      <c r="E516" s="114" t="b">
        <v>0</v>
      </c>
      <c r="F516" s="114" t="b">
        <v>0</v>
      </c>
      <c r="G516" s="114" t="b">
        <v>0</v>
      </c>
    </row>
    <row r="517" spans="1:7" ht="15">
      <c r="A517" s="114" t="s">
        <v>2246</v>
      </c>
      <c r="B517" s="114">
        <v>3</v>
      </c>
      <c r="C517" s="116">
        <v>0.0009168111787745449</v>
      </c>
      <c r="D517" s="114" t="s">
        <v>2559</v>
      </c>
      <c r="E517" s="114" t="b">
        <v>0</v>
      </c>
      <c r="F517" s="114" t="b">
        <v>0</v>
      </c>
      <c r="G517" s="114" t="b">
        <v>0</v>
      </c>
    </row>
    <row r="518" spans="1:7" ht="15">
      <c r="A518" s="114" t="s">
        <v>2247</v>
      </c>
      <c r="B518" s="114">
        <v>3</v>
      </c>
      <c r="C518" s="116">
        <v>0.0009168111787745449</v>
      </c>
      <c r="D518" s="114" t="s">
        <v>2559</v>
      </c>
      <c r="E518" s="114" t="b">
        <v>0</v>
      </c>
      <c r="F518" s="114" t="b">
        <v>0</v>
      </c>
      <c r="G518" s="114" t="b">
        <v>0</v>
      </c>
    </row>
    <row r="519" spans="1:7" ht="15">
      <c r="A519" s="114" t="s">
        <v>2248</v>
      </c>
      <c r="B519" s="114">
        <v>3</v>
      </c>
      <c r="C519" s="116">
        <v>0.0009168111787745449</v>
      </c>
      <c r="D519" s="114" t="s">
        <v>2559</v>
      </c>
      <c r="E519" s="114" t="b">
        <v>0</v>
      </c>
      <c r="F519" s="114" t="b">
        <v>0</v>
      </c>
      <c r="G519" s="114" t="b">
        <v>0</v>
      </c>
    </row>
    <row r="520" spans="1:7" ht="15">
      <c r="A520" s="114" t="s">
        <v>2249</v>
      </c>
      <c r="B520" s="114">
        <v>3</v>
      </c>
      <c r="C520" s="116">
        <v>0.0008028422253429518</v>
      </c>
      <c r="D520" s="114" t="s">
        <v>2559</v>
      </c>
      <c r="E520" s="114" t="b">
        <v>0</v>
      </c>
      <c r="F520" s="114" t="b">
        <v>0</v>
      </c>
      <c r="G520" s="114" t="b">
        <v>0</v>
      </c>
    </row>
    <row r="521" spans="1:7" ht="15">
      <c r="A521" s="114" t="s">
        <v>2250</v>
      </c>
      <c r="B521" s="114">
        <v>3</v>
      </c>
      <c r="C521" s="116">
        <v>0.000736174661339034</v>
      </c>
      <c r="D521" s="114" t="s">
        <v>2559</v>
      </c>
      <c r="E521" s="114" t="b">
        <v>0</v>
      </c>
      <c r="F521" s="114" t="b">
        <v>0</v>
      </c>
      <c r="G521" s="114" t="b">
        <v>0</v>
      </c>
    </row>
    <row r="522" spans="1:7" ht="15">
      <c r="A522" s="114" t="s">
        <v>2251</v>
      </c>
      <c r="B522" s="114">
        <v>3</v>
      </c>
      <c r="C522" s="116">
        <v>0.0009168111787745449</v>
      </c>
      <c r="D522" s="114" t="s">
        <v>2559</v>
      </c>
      <c r="E522" s="114" t="b">
        <v>0</v>
      </c>
      <c r="F522" s="114" t="b">
        <v>0</v>
      </c>
      <c r="G522" s="114" t="b">
        <v>0</v>
      </c>
    </row>
    <row r="523" spans="1:7" ht="15">
      <c r="A523" s="114" t="s">
        <v>2252</v>
      </c>
      <c r="B523" s="114">
        <v>3</v>
      </c>
      <c r="C523" s="116">
        <v>0.0009168111787745449</v>
      </c>
      <c r="D523" s="114" t="s">
        <v>2559</v>
      </c>
      <c r="E523" s="114" t="b">
        <v>0</v>
      </c>
      <c r="F523" s="114" t="b">
        <v>0</v>
      </c>
      <c r="G523" s="114" t="b">
        <v>0</v>
      </c>
    </row>
    <row r="524" spans="1:7" ht="15">
      <c r="A524" s="114" t="s">
        <v>2253</v>
      </c>
      <c r="B524" s="114">
        <v>3</v>
      </c>
      <c r="C524" s="116">
        <v>0.0009168111787745449</v>
      </c>
      <c r="D524" s="114" t="s">
        <v>2559</v>
      </c>
      <c r="E524" s="114" t="b">
        <v>0</v>
      </c>
      <c r="F524" s="114" t="b">
        <v>0</v>
      </c>
      <c r="G524" s="114" t="b">
        <v>0</v>
      </c>
    </row>
    <row r="525" spans="1:7" ht="15">
      <c r="A525" s="114" t="s">
        <v>2254</v>
      </c>
      <c r="B525" s="114">
        <v>3</v>
      </c>
      <c r="C525" s="116">
        <v>0.000736174661339034</v>
      </c>
      <c r="D525" s="114" t="s">
        <v>2559</v>
      </c>
      <c r="E525" s="114" t="b">
        <v>0</v>
      </c>
      <c r="F525" s="114" t="b">
        <v>0</v>
      </c>
      <c r="G525" s="114" t="b">
        <v>0</v>
      </c>
    </row>
    <row r="526" spans="1:7" ht="15">
      <c r="A526" s="114" t="s">
        <v>2255</v>
      </c>
      <c r="B526" s="114">
        <v>3</v>
      </c>
      <c r="C526" s="116">
        <v>0.0009168111787745449</v>
      </c>
      <c r="D526" s="114" t="s">
        <v>2559</v>
      </c>
      <c r="E526" s="114" t="b">
        <v>0</v>
      </c>
      <c r="F526" s="114" t="b">
        <v>0</v>
      </c>
      <c r="G526" s="114" t="b">
        <v>0</v>
      </c>
    </row>
    <row r="527" spans="1:7" ht="15">
      <c r="A527" s="114" t="s">
        <v>2256</v>
      </c>
      <c r="B527" s="114">
        <v>3</v>
      </c>
      <c r="C527" s="116">
        <v>0.0009168111787745449</v>
      </c>
      <c r="D527" s="114" t="s">
        <v>2559</v>
      </c>
      <c r="E527" s="114" t="b">
        <v>0</v>
      </c>
      <c r="F527" s="114" t="b">
        <v>0</v>
      </c>
      <c r="G527" s="114" t="b">
        <v>0</v>
      </c>
    </row>
    <row r="528" spans="1:7" ht="15">
      <c r="A528" s="114" t="s">
        <v>2257</v>
      </c>
      <c r="B528" s="114">
        <v>3</v>
      </c>
      <c r="C528" s="116">
        <v>0.0009168111787745449</v>
      </c>
      <c r="D528" s="114" t="s">
        <v>2559</v>
      </c>
      <c r="E528" s="114" t="b">
        <v>0</v>
      </c>
      <c r="F528" s="114" t="b">
        <v>0</v>
      </c>
      <c r="G528" s="114" t="b">
        <v>0</v>
      </c>
    </row>
    <row r="529" spans="1:7" ht="15">
      <c r="A529" s="114" t="s">
        <v>2258</v>
      </c>
      <c r="B529" s="114">
        <v>3</v>
      </c>
      <c r="C529" s="116">
        <v>0.0009168111787745449</v>
      </c>
      <c r="D529" s="114" t="s">
        <v>2559</v>
      </c>
      <c r="E529" s="114" t="b">
        <v>0</v>
      </c>
      <c r="F529" s="114" t="b">
        <v>0</v>
      </c>
      <c r="G529" s="114" t="b">
        <v>0</v>
      </c>
    </row>
    <row r="530" spans="1:7" ht="15">
      <c r="A530" s="114" t="s">
        <v>2259</v>
      </c>
      <c r="B530" s="114">
        <v>3</v>
      </c>
      <c r="C530" s="116">
        <v>0.0009168111787745449</v>
      </c>
      <c r="D530" s="114" t="s">
        <v>2559</v>
      </c>
      <c r="E530" s="114" t="b">
        <v>0</v>
      </c>
      <c r="F530" s="114" t="b">
        <v>0</v>
      </c>
      <c r="G530" s="114" t="b">
        <v>0</v>
      </c>
    </row>
    <row r="531" spans="1:7" ht="15">
      <c r="A531" s="114" t="s">
        <v>2260</v>
      </c>
      <c r="B531" s="114">
        <v>3</v>
      </c>
      <c r="C531" s="116">
        <v>0.0009168111787745449</v>
      </c>
      <c r="D531" s="114" t="s">
        <v>2559</v>
      </c>
      <c r="E531" s="114" t="b">
        <v>0</v>
      </c>
      <c r="F531" s="114" t="b">
        <v>0</v>
      </c>
      <c r="G531" s="114" t="b">
        <v>0</v>
      </c>
    </row>
    <row r="532" spans="1:7" ht="15">
      <c r="A532" s="114" t="s">
        <v>2261</v>
      </c>
      <c r="B532" s="114">
        <v>3</v>
      </c>
      <c r="C532" s="116">
        <v>0.0009168111787745449</v>
      </c>
      <c r="D532" s="114" t="s">
        <v>2559</v>
      </c>
      <c r="E532" s="114" t="b">
        <v>0</v>
      </c>
      <c r="F532" s="114" t="b">
        <v>1</v>
      </c>
      <c r="G532" s="114" t="b">
        <v>0</v>
      </c>
    </row>
    <row r="533" spans="1:7" ht="15">
      <c r="A533" s="114" t="s">
        <v>2262</v>
      </c>
      <c r="B533" s="114">
        <v>3</v>
      </c>
      <c r="C533" s="116">
        <v>0.0009168111787745449</v>
      </c>
      <c r="D533" s="114" t="s">
        <v>2559</v>
      </c>
      <c r="E533" s="114" t="b">
        <v>0</v>
      </c>
      <c r="F533" s="114" t="b">
        <v>0</v>
      </c>
      <c r="G533" s="114" t="b">
        <v>0</v>
      </c>
    </row>
    <row r="534" spans="1:7" ht="15">
      <c r="A534" s="114" t="s">
        <v>2263</v>
      </c>
      <c r="B534" s="114">
        <v>3</v>
      </c>
      <c r="C534" s="116">
        <v>0.0008028422253429518</v>
      </c>
      <c r="D534" s="114" t="s">
        <v>2559</v>
      </c>
      <c r="E534" s="114" t="b">
        <v>0</v>
      </c>
      <c r="F534" s="114" t="b">
        <v>0</v>
      </c>
      <c r="G534" s="114" t="b">
        <v>0</v>
      </c>
    </row>
    <row r="535" spans="1:7" ht="15">
      <c r="A535" s="114" t="s">
        <v>2264</v>
      </c>
      <c r="B535" s="114">
        <v>3</v>
      </c>
      <c r="C535" s="116">
        <v>0.0009168111787745449</v>
      </c>
      <c r="D535" s="114" t="s">
        <v>2559</v>
      </c>
      <c r="E535" s="114" t="b">
        <v>0</v>
      </c>
      <c r="F535" s="114" t="b">
        <v>0</v>
      </c>
      <c r="G535" s="114" t="b">
        <v>0</v>
      </c>
    </row>
    <row r="536" spans="1:7" ht="15">
      <c r="A536" s="114" t="s">
        <v>2265</v>
      </c>
      <c r="B536" s="114">
        <v>3</v>
      </c>
      <c r="C536" s="116">
        <v>0.0009168111787745449</v>
      </c>
      <c r="D536" s="114" t="s">
        <v>2559</v>
      </c>
      <c r="E536" s="114" t="b">
        <v>0</v>
      </c>
      <c r="F536" s="114" t="b">
        <v>0</v>
      </c>
      <c r="G536" s="114" t="b">
        <v>0</v>
      </c>
    </row>
    <row r="537" spans="1:7" ht="15">
      <c r="A537" s="114" t="s">
        <v>2266</v>
      </c>
      <c r="B537" s="114">
        <v>2</v>
      </c>
      <c r="C537" s="116">
        <v>0.0006112074525163633</v>
      </c>
      <c r="D537" s="114" t="s">
        <v>2559</v>
      </c>
      <c r="E537" s="114" t="b">
        <v>0</v>
      </c>
      <c r="F537" s="114" t="b">
        <v>0</v>
      </c>
      <c r="G537" s="114" t="b">
        <v>0</v>
      </c>
    </row>
    <row r="538" spans="1:7" ht="15">
      <c r="A538" s="114" t="s">
        <v>2267</v>
      </c>
      <c r="B538" s="114">
        <v>2</v>
      </c>
      <c r="C538" s="116">
        <v>0.0005352281502286346</v>
      </c>
      <c r="D538" s="114" t="s">
        <v>2559</v>
      </c>
      <c r="E538" s="114" t="b">
        <v>0</v>
      </c>
      <c r="F538" s="114" t="b">
        <v>0</v>
      </c>
      <c r="G538" s="114" t="b">
        <v>0</v>
      </c>
    </row>
    <row r="539" spans="1:7" ht="15">
      <c r="A539" s="114" t="s">
        <v>2268</v>
      </c>
      <c r="B539" s="114">
        <v>2</v>
      </c>
      <c r="C539" s="116">
        <v>0.0005352281502286346</v>
      </c>
      <c r="D539" s="114" t="s">
        <v>2559</v>
      </c>
      <c r="E539" s="114" t="b">
        <v>0</v>
      </c>
      <c r="F539" s="114" t="b">
        <v>0</v>
      </c>
      <c r="G539" s="114" t="b">
        <v>0</v>
      </c>
    </row>
    <row r="540" spans="1:7" ht="15">
      <c r="A540" s="114" t="s">
        <v>2269</v>
      </c>
      <c r="B540" s="114">
        <v>2</v>
      </c>
      <c r="C540" s="116">
        <v>0.0005352281502286346</v>
      </c>
      <c r="D540" s="114" t="s">
        <v>2559</v>
      </c>
      <c r="E540" s="114" t="b">
        <v>0</v>
      </c>
      <c r="F540" s="114" t="b">
        <v>0</v>
      </c>
      <c r="G540" s="114" t="b">
        <v>0</v>
      </c>
    </row>
    <row r="541" spans="1:7" ht="15">
      <c r="A541" s="114" t="s">
        <v>2270</v>
      </c>
      <c r="B541" s="114">
        <v>2</v>
      </c>
      <c r="C541" s="116">
        <v>0.0005352281502286346</v>
      </c>
      <c r="D541" s="114" t="s">
        <v>2559</v>
      </c>
      <c r="E541" s="114" t="b">
        <v>0</v>
      </c>
      <c r="F541" s="114" t="b">
        <v>0</v>
      </c>
      <c r="G541" s="114" t="b">
        <v>0</v>
      </c>
    </row>
    <row r="542" spans="1:7" ht="15">
      <c r="A542" s="114" t="s">
        <v>2271</v>
      </c>
      <c r="B542" s="114">
        <v>2</v>
      </c>
      <c r="C542" s="116">
        <v>0.0005352281502286346</v>
      </c>
      <c r="D542" s="114" t="s">
        <v>2559</v>
      </c>
      <c r="E542" s="114" t="b">
        <v>0</v>
      </c>
      <c r="F542" s="114" t="b">
        <v>0</v>
      </c>
      <c r="G542" s="114" t="b">
        <v>0</v>
      </c>
    </row>
    <row r="543" spans="1:7" ht="15">
      <c r="A543" s="114" t="s">
        <v>2272</v>
      </c>
      <c r="B543" s="114">
        <v>2</v>
      </c>
      <c r="C543" s="116">
        <v>0.0005352281502286346</v>
      </c>
      <c r="D543" s="114" t="s">
        <v>2559</v>
      </c>
      <c r="E543" s="114" t="b">
        <v>0</v>
      </c>
      <c r="F543" s="114" t="b">
        <v>0</v>
      </c>
      <c r="G543" s="114" t="b">
        <v>0</v>
      </c>
    </row>
    <row r="544" spans="1:7" ht="15">
      <c r="A544" s="114" t="s">
        <v>2273</v>
      </c>
      <c r="B544" s="114">
        <v>2</v>
      </c>
      <c r="C544" s="116">
        <v>0.0005352281502286346</v>
      </c>
      <c r="D544" s="114" t="s">
        <v>2559</v>
      </c>
      <c r="E544" s="114" t="b">
        <v>0</v>
      </c>
      <c r="F544" s="114" t="b">
        <v>0</v>
      </c>
      <c r="G544" s="114" t="b">
        <v>0</v>
      </c>
    </row>
    <row r="545" spans="1:7" ht="15">
      <c r="A545" s="114" t="s">
        <v>2274</v>
      </c>
      <c r="B545" s="114">
        <v>2</v>
      </c>
      <c r="C545" s="116">
        <v>0.0006112074525163633</v>
      </c>
      <c r="D545" s="114" t="s">
        <v>2559</v>
      </c>
      <c r="E545" s="114" t="b">
        <v>0</v>
      </c>
      <c r="F545" s="114" t="b">
        <v>0</v>
      </c>
      <c r="G545" s="114" t="b">
        <v>0</v>
      </c>
    </row>
    <row r="546" spans="1:7" ht="15">
      <c r="A546" s="114" t="s">
        <v>2275</v>
      </c>
      <c r="B546" s="114">
        <v>2</v>
      </c>
      <c r="C546" s="116">
        <v>0.0005352281502286346</v>
      </c>
      <c r="D546" s="114" t="s">
        <v>2559</v>
      </c>
      <c r="E546" s="114" t="b">
        <v>0</v>
      </c>
      <c r="F546" s="114" t="b">
        <v>0</v>
      </c>
      <c r="G546" s="114" t="b">
        <v>0</v>
      </c>
    </row>
    <row r="547" spans="1:7" ht="15">
      <c r="A547" s="114" t="s">
        <v>2276</v>
      </c>
      <c r="B547" s="114">
        <v>2</v>
      </c>
      <c r="C547" s="116">
        <v>0.0005352281502286346</v>
      </c>
      <c r="D547" s="114" t="s">
        <v>2559</v>
      </c>
      <c r="E547" s="114" t="b">
        <v>0</v>
      </c>
      <c r="F547" s="114" t="b">
        <v>0</v>
      </c>
      <c r="G547" s="114" t="b">
        <v>0</v>
      </c>
    </row>
    <row r="548" spans="1:7" ht="15">
      <c r="A548" s="114" t="s">
        <v>2277</v>
      </c>
      <c r="B548" s="114">
        <v>2</v>
      </c>
      <c r="C548" s="116">
        <v>0.0005352281502286346</v>
      </c>
      <c r="D548" s="114" t="s">
        <v>2559</v>
      </c>
      <c r="E548" s="114" t="b">
        <v>0</v>
      </c>
      <c r="F548" s="114" t="b">
        <v>0</v>
      </c>
      <c r="G548" s="114" t="b">
        <v>0</v>
      </c>
    </row>
    <row r="549" spans="1:7" ht="15">
      <c r="A549" s="114" t="s">
        <v>2278</v>
      </c>
      <c r="B549" s="114">
        <v>2</v>
      </c>
      <c r="C549" s="116">
        <v>0.0005352281502286346</v>
      </c>
      <c r="D549" s="114" t="s">
        <v>2559</v>
      </c>
      <c r="E549" s="114" t="b">
        <v>0</v>
      </c>
      <c r="F549" s="114" t="b">
        <v>0</v>
      </c>
      <c r="G549" s="114" t="b">
        <v>0</v>
      </c>
    </row>
    <row r="550" spans="1:7" ht="15">
      <c r="A550" s="114" t="s">
        <v>2279</v>
      </c>
      <c r="B550" s="114">
        <v>2</v>
      </c>
      <c r="C550" s="116">
        <v>0.0005352281502286346</v>
      </c>
      <c r="D550" s="114" t="s">
        <v>2559</v>
      </c>
      <c r="E550" s="114" t="b">
        <v>0</v>
      </c>
      <c r="F550" s="114" t="b">
        <v>0</v>
      </c>
      <c r="G550" s="114" t="b">
        <v>0</v>
      </c>
    </row>
    <row r="551" spans="1:7" ht="15">
      <c r="A551" s="114" t="s">
        <v>2280</v>
      </c>
      <c r="B551" s="114">
        <v>2</v>
      </c>
      <c r="C551" s="116">
        <v>0.0005352281502286346</v>
      </c>
      <c r="D551" s="114" t="s">
        <v>2559</v>
      </c>
      <c r="E551" s="114" t="b">
        <v>0</v>
      </c>
      <c r="F551" s="114" t="b">
        <v>0</v>
      </c>
      <c r="G551" s="114" t="b">
        <v>0</v>
      </c>
    </row>
    <row r="552" spans="1:7" ht="15">
      <c r="A552" s="114" t="s">
        <v>2281</v>
      </c>
      <c r="B552" s="114">
        <v>2</v>
      </c>
      <c r="C552" s="116">
        <v>0.0006112074525163633</v>
      </c>
      <c r="D552" s="114" t="s">
        <v>2559</v>
      </c>
      <c r="E552" s="114" t="b">
        <v>0</v>
      </c>
      <c r="F552" s="114" t="b">
        <v>0</v>
      </c>
      <c r="G552" s="114" t="b">
        <v>0</v>
      </c>
    </row>
    <row r="553" spans="1:7" ht="15">
      <c r="A553" s="114" t="s">
        <v>2282</v>
      </c>
      <c r="B553" s="114">
        <v>2</v>
      </c>
      <c r="C553" s="116">
        <v>0.0006112074525163633</v>
      </c>
      <c r="D553" s="114" t="s">
        <v>2559</v>
      </c>
      <c r="E553" s="114" t="b">
        <v>0</v>
      </c>
      <c r="F553" s="114" t="b">
        <v>0</v>
      </c>
      <c r="G553" s="114" t="b">
        <v>0</v>
      </c>
    </row>
    <row r="554" spans="1:7" ht="15">
      <c r="A554" s="114" t="s">
        <v>2283</v>
      </c>
      <c r="B554" s="114">
        <v>2</v>
      </c>
      <c r="C554" s="116">
        <v>0.0006112074525163633</v>
      </c>
      <c r="D554" s="114" t="s">
        <v>2559</v>
      </c>
      <c r="E554" s="114" t="b">
        <v>0</v>
      </c>
      <c r="F554" s="114" t="b">
        <v>0</v>
      </c>
      <c r="G554" s="114" t="b">
        <v>0</v>
      </c>
    </row>
    <row r="555" spans="1:7" ht="15">
      <c r="A555" s="114" t="s">
        <v>2284</v>
      </c>
      <c r="B555" s="114">
        <v>2</v>
      </c>
      <c r="C555" s="116">
        <v>0.0006112074525163633</v>
      </c>
      <c r="D555" s="114" t="s">
        <v>2559</v>
      </c>
      <c r="E555" s="114" t="b">
        <v>0</v>
      </c>
      <c r="F555" s="114" t="b">
        <v>0</v>
      </c>
      <c r="G555" s="114" t="b">
        <v>0</v>
      </c>
    </row>
    <row r="556" spans="1:7" ht="15">
      <c r="A556" s="114" t="s">
        <v>2285</v>
      </c>
      <c r="B556" s="114">
        <v>2</v>
      </c>
      <c r="C556" s="116">
        <v>0.0005352281502286346</v>
      </c>
      <c r="D556" s="114" t="s">
        <v>2559</v>
      </c>
      <c r="E556" s="114" t="b">
        <v>0</v>
      </c>
      <c r="F556" s="114" t="b">
        <v>0</v>
      </c>
      <c r="G556" s="114" t="b">
        <v>0</v>
      </c>
    </row>
    <row r="557" spans="1:7" ht="15">
      <c r="A557" s="114" t="s">
        <v>2286</v>
      </c>
      <c r="B557" s="114">
        <v>2</v>
      </c>
      <c r="C557" s="116">
        <v>0.0005352281502286346</v>
      </c>
      <c r="D557" s="114" t="s">
        <v>2559</v>
      </c>
      <c r="E557" s="114" t="b">
        <v>0</v>
      </c>
      <c r="F557" s="114" t="b">
        <v>0</v>
      </c>
      <c r="G557" s="114" t="b">
        <v>0</v>
      </c>
    </row>
    <row r="558" spans="1:7" ht="15">
      <c r="A558" s="114" t="s">
        <v>2287</v>
      </c>
      <c r="B558" s="114">
        <v>2</v>
      </c>
      <c r="C558" s="116">
        <v>0.0005352281502286346</v>
      </c>
      <c r="D558" s="114" t="s">
        <v>2559</v>
      </c>
      <c r="E558" s="114" t="b">
        <v>0</v>
      </c>
      <c r="F558" s="114" t="b">
        <v>1</v>
      </c>
      <c r="G558" s="114" t="b">
        <v>0</v>
      </c>
    </row>
    <row r="559" spans="1:7" ht="15">
      <c r="A559" s="114" t="s">
        <v>2288</v>
      </c>
      <c r="B559" s="114">
        <v>2</v>
      </c>
      <c r="C559" s="116">
        <v>0.0005352281502286346</v>
      </c>
      <c r="D559" s="114" t="s">
        <v>2559</v>
      </c>
      <c r="E559" s="114" t="b">
        <v>0</v>
      </c>
      <c r="F559" s="114" t="b">
        <v>0</v>
      </c>
      <c r="G559" s="114" t="b">
        <v>0</v>
      </c>
    </row>
    <row r="560" spans="1:7" ht="15">
      <c r="A560" s="114" t="s">
        <v>2289</v>
      </c>
      <c r="B560" s="114">
        <v>2</v>
      </c>
      <c r="C560" s="116">
        <v>0.0005352281502286346</v>
      </c>
      <c r="D560" s="114" t="s">
        <v>2559</v>
      </c>
      <c r="E560" s="114" t="b">
        <v>0</v>
      </c>
      <c r="F560" s="114" t="b">
        <v>0</v>
      </c>
      <c r="G560" s="114" t="b">
        <v>0</v>
      </c>
    </row>
    <row r="561" spans="1:7" ht="15">
      <c r="A561" s="114" t="s">
        <v>2290</v>
      </c>
      <c r="B561" s="114">
        <v>2</v>
      </c>
      <c r="C561" s="116">
        <v>0.0005352281502286346</v>
      </c>
      <c r="D561" s="114" t="s">
        <v>2559</v>
      </c>
      <c r="E561" s="114" t="b">
        <v>0</v>
      </c>
      <c r="F561" s="114" t="b">
        <v>0</v>
      </c>
      <c r="G561" s="114" t="b">
        <v>0</v>
      </c>
    </row>
    <row r="562" spans="1:7" ht="15">
      <c r="A562" s="114" t="s">
        <v>2291</v>
      </c>
      <c r="B562" s="114">
        <v>2</v>
      </c>
      <c r="C562" s="116">
        <v>0.0006112074525163633</v>
      </c>
      <c r="D562" s="114" t="s">
        <v>2559</v>
      </c>
      <c r="E562" s="114" t="b">
        <v>0</v>
      </c>
      <c r="F562" s="114" t="b">
        <v>0</v>
      </c>
      <c r="G562" s="114" t="b">
        <v>0</v>
      </c>
    </row>
    <row r="563" spans="1:7" ht="15">
      <c r="A563" s="114" t="s">
        <v>2292</v>
      </c>
      <c r="B563" s="114">
        <v>2</v>
      </c>
      <c r="C563" s="116">
        <v>0.0005352281502286346</v>
      </c>
      <c r="D563" s="114" t="s">
        <v>2559</v>
      </c>
      <c r="E563" s="114" t="b">
        <v>0</v>
      </c>
      <c r="F563" s="114" t="b">
        <v>0</v>
      </c>
      <c r="G563" s="114" t="b">
        <v>0</v>
      </c>
    </row>
    <row r="564" spans="1:7" ht="15">
      <c r="A564" s="114" t="s">
        <v>2293</v>
      </c>
      <c r="B564" s="114">
        <v>2</v>
      </c>
      <c r="C564" s="116">
        <v>0.0005352281502286346</v>
      </c>
      <c r="D564" s="114" t="s">
        <v>2559</v>
      </c>
      <c r="E564" s="114" t="b">
        <v>0</v>
      </c>
      <c r="F564" s="114" t="b">
        <v>0</v>
      </c>
      <c r="G564" s="114" t="b">
        <v>0</v>
      </c>
    </row>
    <row r="565" spans="1:7" ht="15">
      <c r="A565" s="114" t="s">
        <v>2294</v>
      </c>
      <c r="B565" s="114">
        <v>2</v>
      </c>
      <c r="C565" s="116">
        <v>0.0005352281502286346</v>
      </c>
      <c r="D565" s="114" t="s">
        <v>2559</v>
      </c>
      <c r="E565" s="114" t="b">
        <v>0</v>
      </c>
      <c r="F565" s="114" t="b">
        <v>0</v>
      </c>
      <c r="G565" s="114" t="b">
        <v>0</v>
      </c>
    </row>
    <row r="566" spans="1:7" ht="15">
      <c r="A566" s="114" t="s">
        <v>2295</v>
      </c>
      <c r="B566" s="114">
        <v>2</v>
      </c>
      <c r="C566" s="116">
        <v>0.0005352281502286346</v>
      </c>
      <c r="D566" s="114" t="s">
        <v>2559</v>
      </c>
      <c r="E566" s="114" t="b">
        <v>0</v>
      </c>
      <c r="F566" s="114" t="b">
        <v>0</v>
      </c>
      <c r="G566" s="114" t="b">
        <v>0</v>
      </c>
    </row>
    <row r="567" spans="1:7" ht="15">
      <c r="A567" s="114" t="s">
        <v>2296</v>
      </c>
      <c r="B567" s="114">
        <v>2</v>
      </c>
      <c r="C567" s="116">
        <v>0.0006112074525163633</v>
      </c>
      <c r="D567" s="114" t="s">
        <v>2559</v>
      </c>
      <c r="E567" s="114" t="b">
        <v>0</v>
      </c>
      <c r="F567" s="114" t="b">
        <v>0</v>
      </c>
      <c r="G567" s="114" t="b">
        <v>0</v>
      </c>
    </row>
    <row r="568" spans="1:7" ht="15">
      <c r="A568" s="114" t="s">
        <v>2297</v>
      </c>
      <c r="B568" s="114">
        <v>2</v>
      </c>
      <c r="C568" s="116">
        <v>0.0005352281502286346</v>
      </c>
      <c r="D568" s="114" t="s">
        <v>2559</v>
      </c>
      <c r="E568" s="114" t="b">
        <v>0</v>
      </c>
      <c r="F568" s="114" t="b">
        <v>0</v>
      </c>
      <c r="G568" s="114" t="b">
        <v>0</v>
      </c>
    </row>
    <row r="569" spans="1:7" ht="15">
      <c r="A569" s="114" t="s">
        <v>2298</v>
      </c>
      <c r="B569" s="114">
        <v>2</v>
      </c>
      <c r="C569" s="116">
        <v>0.0005352281502286346</v>
      </c>
      <c r="D569" s="114" t="s">
        <v>2559</v>
      </c>
      <c r="E569" s="114" t="b">
        <v>0</v>
      </c>
      <c r="F569" s="114" t="b">
        <v>0</v>
      </c>
      <c r="G569" s="114" t="b">
        <v>0</v>
      </c>
    </row>
    <row r="570" spans="1:7" ht="15">
      <c r="A570" s="114" t="s">
        <v>2299</v>
      </c>
      <c r="B570" s="114">
        <v>2</v>
      </c>
      <c r="C570" s="116">
        <v>0.0005352281502286346</v>
      </c>
      <c r="D570" s="114" t="s">
        <v>2559</v>
      </c>
      <c r="E570" s="114" t="b">
        <v>0</v>
      </c>
      <c r="F570" s="114" t="b">
        <v>0</v>
      </c>
      <c r="G570" s="114" t="b">
        <v>0</v>
      </c>
    </row>
    <row r="571" spans="1:7" ht="15">
      <c r="A571" s="114" t="s">
        <v>2300</v>
      </c>
      <c r="B571" s="114">
        <v>2</v>
      </c>
      <c r="C571" s="116">
        <v>0.0005352281502286346</v>
      </c>
      <c r="D571" s="114" t="s">
        <v>2559</v>
      </c>
      <c r="E571" s="114" t="b">
        <v>0</v>
      </c>
      <c r="F571" s="114" t="b">
        <v>0</v>
      </c>
      <c r="G571" s="114" t="b">
        <v>0</v>
      </c>
    </row>
    <row r="572" spans="1:7" ht="15">
      <c r="A572" s="114" t="s">
        <v>2301</v>
      </c>
      <c r="B572" s="114">
        <v>2</v>
      </c>
      <c r="C572" s="116">
        <v>0.0006112074525163633</v>
      </c>
      <c r="D572" s="114" t="s">
        <v>2559</v>
      </c>
      <c r="E572" s="114" t="b">
        <v>0</v>
      </c>
      <c r="F572" s="114" t="b">
        <v>0</v>
      </c>
      <c r="G572" s="114" t="b">
        <v>0</v>
      </c>
    </row>
    <row r="573" spans="1:7" ht="15">
      <c r="A573" s="114" t="s">
        <v>2302</v>
      </c>
      <c r="B573" s="114">
        <v>2</v>
      </c>
      <c r="C573" s="116">
        <v>0.0005352281502286346</v>
      </c>
      <c r="D573" s="114" t="s">
        <v>2559</v>
      </c>
      <c r="E573" s="114" t="b">
        <v>0</v>
      </c>
      <c r="F573" s="114" t="b">
        <v>0</v>
      </c>
      <c r="G573" s="114" t="b">
        <v>0</v>
      </c>
    </row>
    <row r="574" spans="1:7" ht="15">
      <c r="A574" s="114" t="s">
        <v>2303</v>
      </c>
      <c r="B574" s="114">
        <v>2</v>
      </c>
      <c r="C574" s="116">
        <v>0.0006112074525163633</v>
      </c>
      <c r="D574" s="114" t="s">
        <v>2559</v>
      </c>
      <c r="E574" s="114" t="b">
        <v>0</v>
      </c>
      <c r="F574" s="114" t="b">
        <v>0</v>
      </c>
      <c r="G574" s="114" t="b">
        <v>0</v>
      </c>
    </row>
    <row r="575" spans="1:7" ht="15">
      <c r="A575" s="114" t="s">
        <v>2304</v>
      </c>
      <c r="B575" s="114">
        <v>2</v>
      </c>
      <c r="C575" s="116">
        <v>0.0005352281502286346</v>
      </c>
      <c r="D575" s="114" t="s">
        <v>2559</v>
      </c>
      <c r="E575" s="114" t="b">
        <v>0</v>
      </c>
      <c r="F575" s="114" t="b">
        <v>0</v>
      </c>
      <c r="G575" s="114" t="b">
        <v>0</v>
      </c>
    </row>
    <row r="576" spans="1:7" ht="15">
      <c r="A576" s="114" t="s">
        <v>2305</v>
      </c>
      <c r="B576" s="114">
        <v>2</v>
      </c>
      <c r="C576" s="116">
        <v>0.0005352281502286346</v>
      </c>
      <c r="D576" s="114" t="s">
        <v>2559</v>
      </c>
      <c r="E576" s="114" t="b">
        <v>0</v>
      </c>
      <c r="F576" s="114" t="b">
        <v>0</v>
      </c>
      <c r="G576" s="114" t="b">
        <v>0</v>
      </c>
    </row>
    <row r="577" spans="1:7" ht="15">
      <c r="A577" s="114" t="s">
        <v>2306</v>
      </c>
      <c r="B577" s="114">
        <v>2</v>
      </c>
      <c r="C577" s="116">
        <v>0.0005352281502286346</v>
      </c>
      <c r="D577" s="114" t="s">
        <v>2559</v>
      </c>
      <c r="E577" s="114" t="b">
        <v>0</v>
      </c>
      <c r="F577" s="114" t="b">
        <v>0</v>
      </c>
      <c r="G577" s="114" t="b">
        <v>0</v>
      </c>
    </row>
    <row r="578" spans="1:7" ht="15">
      <c r="A578" s="114" t="s">
        <v>2307</v>
      </c>
      <c r="B578" s="114">
        <v>2</v>
      </c>
      <c r="C578" s="116">
        <v>0.0006112074525163633</v>
      </c>
      <c r="D578" s="114" t="s">
        <v>2559</v>
      </c>
      <c r="E578" s="114" t="b">
        <v>0</v>
      </c>
      <c r="F578" s="114" t="b">
        <v>0</v>
      </c>
      <c r="G578" s="114" t="b">
        <v>0</v>
      </c>
    </row>
    <row r="579" spans="1:7" ht="15">
      <c r="A579" s="114" t="s">
        <v>2308</v>
      </c>
      <c r="B579" s="114">
        <v>2</v>
      </c>
      <c r="C579" s="116">
        <v>0.0005352281502286346</v>
      </c>
      <c r="D579" s="114" t="s">
        <v>2559</v>
      </c>
      <c r="E579" s="114" t="b">
        <v>0</v>
      </c>
      <c r="F579" s="114" t="b">
        <v>0</v>
      </c>
      <c r="G579" s="114" t="b">
        <v>0</v>
      </c>
    </row>
    <row r="580" spans="1:7" ht="15">
      <c r="A580" s="114" t="s">
        <v>2309</v>
      </c>
      <c r="B580" s="114">
        <v>2</v>
      </c>
      <c r="C580" s="116">
        <v>0.0006112074525163633</v>
      </c>
      <c r="D580" s="114" t="s">
        <v>2559</v>
      </c>
      <c r="E580" s="114" t="b">
        <v>0</v>
      </c>
      <c r="F580" s="114" t="b">
        <v>0</v>
      </c>
      <c r="G580" s="114" t="b">
        <v>0</v>
      </c>
    </row>
    <row r="581" spans="1:7" ht="15">
      <c r="A581" s="114" t="s">
        <v>2310</v>
      </c>
      <c r="B581" s="114">
        <v>2</v>
      </c>
      <c r="C581" s="116">
        <v>0.0006112074525163633</v>
      </c>
      <c r="D581" s="114" t="s">
        <v>2559</v>
      </c>
      <c r="E581" s="114" t="b">
        <v>0</v>
      </c>
      <c r="F581" s="114" t="b">
        <v>0</v>
      </c>
      <c r="G581" s="114" t="b">
        <v>0</v>
      </c>
    </row>
    <row r="582" spans="1:7" ht="15">
      <c r="A582" s="114" t="s">
        <v>2311</v>
      </c>
      <c r="B582" s="114">
        <v>2</v>
      </c>
      <c r="C582" s="116">
        <v>0.0006112074525163633</v>
      </c>
      <c r="D582" s="114" t="s">
        <v>2559</v>
      </c>
      <c r="E582" s="114" t="b">
        <v>0</v>
      </c>
      <c r="F582" s="114" t="b">
        <v>0</v>
      </c>
      <c r="G582" s="114" t="b">
        <v>0</v>
      </c>
    </row>
    <row r="583" spans="1:7" ht="15">
      <c r="A583" s="114" t="s">
        <v>2312</v>
      </c>
      <c r="B583" s="114">
        <v>2</v>
      </c>
      <c r="C583" s="116">
        <v>0.0005352281502286346</v>
      </c>
      <c r="D583" s="114" t="s">
        <v>2559</v>
      </c>
      <c r="E583" s="114" t="b">
        <v>0</v>
      </c>
      <c r="F583" s="114" t="b">
        <v>0</v>
      </c>
      <c r="G583" s="114" t="b">
        <v>0</v>
      </c>
    </row>
    <row r="584" spans="1:7" ht="15">
      <c r="A584" s="114" t="s">
        <v>2313</v>
      </c>
      <c r="B584" s="114">
        <v>2</v>
      </c>
      <c r="C584" s="116">
        <v>0.0005352281502286346</v>
      </c>
      <c r="D584" s="114" t="s">
        <v>2559</v>
      </c>
      <c r="E584" s="114" t="b">
        <v>0</v>
      </c>
      <c r="F584" s="114" t="b">
        <v>1</v>
      </c>
      <c r="G584" s="114" t="b">
        <v>0</v>
      </c>
    </row>
    <row r="585" spans="1:7" ht="15">
      <c r="A585" s="114" t="s">
        <v>2314</v>
      </c>
      <c r="B585" s="114">
        <v>2</v>
      </c>
      <c r="C585" s="116">
        <v>0.0006112074525163633</v>
      </c>
      <c r="D585" s="114" t="s">
        <v>2559</v>
      </c>
      <c r="E585" s="114" t="b">
        <v>0</v>
      </c>
      <c r="F585" s="114" t="b">
        <v>0</v>
      </c>
      <c r="G585" s="114" t="b">
        <v>0</v>
      </c>
    </row>
    <row r="586" spans="1:7" ht="15">
      <c r="A586" s="114" t="s">
        <v>2315</v>
      </c>
      <c r="B586" s="114">
        <v>2</v>
      </c>
      <c r="C586" s="116">
        <v>0.0005352281502286346</v>
      </c>
      <c r="D586" s="114" t="s">
        <v>2559</v>
      </c>
      <c r="E586" s="114" t="b">
        <v>0</v>
      </c>
      <c r="F586" s="114" t="b">
        <v>0</v>
      </c>
      <c r="G586" s="114" t="b">
        <v>0</v>
      </c>
    </row>
    <row r="587" spans="1:7" ht="15">
      <c r="A587" s="114" t="s">
        <v>2316</v>
      </c>
      <c r="B587" s="114">
        <v>2</v>
      </c>
      <c r="C587" s="116">
        <v>0.0005352281502286346</v>
      </c>
      <c r="D587" s="114" t="s">
        <v>2559</v>
      </c>
      <c r="E587" s="114" t="b">
        <v>0</v>
      </c>
      <c r="F587" s="114" t="b">
        <v>0</v>
      </c>
      <c r="G587" s="114" t="b">
        <v>0</v>
      </c>
    </row>
    <row r="588" spans="1:7" ht="15">
      <c r="A588" s="114" t="s">
        <v>2317</v>
      </c>
      <c r="B588" s="114">
        <v>2</v>
      </c>
      <c r="C588" s="116">
        <v>0.0005352281502286346</v>
      </c>
      <c r="D588" s="114" t="s">
        <v>2559</v>
      </c>
      <c r="E588" s="114" t="b">
        <v>0</v>
      </c>
      <c r="F588" s="114" t="b">
        <v>0</v>
      </c>
      <c r="G588" s="114" t="b">
        <v>0</v>
      </c>
    </row>
    <row r="589" spans="1:7" ht="15">
      <c r="A589" s="114" t="s">
        <v>2318</v>
      </c>
      <c r="B589" s="114">
        <v>2</v>
      </c>
      <c r="C589" s="116">
        <v>0.0005352281502286346</v>
      </c>
      <c r="D589" s="114" t="s">
        <v>2559</v>
      </c>
      <c r="E589" s="114" t="b">
        <v>1</v>
      </c>
      <c r="F589" s="114" t="b">
        <v>0</v>
      </c>
      <c r="G589" s="114" t="b">
        <v>0</v>
      </c>
    </row>
    <row r="590" spans="1:7" ht="15">
      <c r="A590" s="114" t="s">
        <v>2319</v>
      </c>
      <c r="B590" s="114">
        <v>2</v>
      </c>
      <c r="C590" s="116">
        <v>0.0006112074525163633</v>
      </c>
      <c r="D590" s="114" t="s">
        <v>2559</v>
      </c>
      <c r="E590" s="114" t="b">
        <v>0</v>
      </c>
      <c r="F590" s="114" t="b">
        <v>0</v>
      </c>
      <c r="G590" s="114" t="b">
        <v>0</v>
      </c>
    </row>
    <row r="591" spans="1:7" ht="15">
      <c r="A591" s="114" t="s">
        <v>2320</v>
      </c>
      <c r="B591" s="114">
        <v>2</v>
      </c>
      <c r="C591" s="116">
        <v>0.0005352281502286346</v>
      </c>
      <c r="D591" s="114" t="s">
        <v>2559</v>
      </c>
      <c r="E591" s="114" t="b">
        <v>0</v>
      </c>
      <c r="F591" s="114" t="b">
        <v>0</v>
      </c>
      <c r="G591" s="114" t="b">
        <v>0</v>
      </c>
    </row>
    <row r="592" spans="1:7" ht="15">
      <c r="A592" s="114" t="s">
        <v>2321</v>
      </c>
      <c r="B592" s="114">
        <v>2</v>
      </c>
      <c r="C592" s="116">
        <v>0.0006112074525163633</v>
      </c>
      <c r="D592" s="114" t="s">
        <v>2559</v>
      </c>
      <c r="E592" s="114" t="b">
        <v>0</v>
      </c>
      <c r="F592" s="114" t="b">
        <v>0</v>
      </c>
      <c r="G592" s="114" t="b">
        <v>0</v>
      </c>
    </row>
    <row r="593" spans="1:7" ht="15">
      <c r="A593" s="114" t="s">
        <v>2322</v>
      </c>
      <c r="B593" s="114">
        <v>2</v>
      </c>
      <c r="C593" s="116">
        <v>0.0005352281502286346</v>
      </c>
      <c r="D593" s="114" t="s">
        <v>2559</v>
      </c>
      <c r="E593" s="114" t="b">
        <v>0</v>
      </c>
      <c r="F593" s="114" t="b">
        <v>0</v>
      </c>
      <c r="G593" s="114" t="b">
        <v>0</v>
      </c>
    </row>
    <row r="594" spans="1:7" ht="15">
      <c r="A594" s="114" t="s">
        <v>2323</v>
      </c>
      <c r="B594" s="114">
        <v>2</v>
      </c>
      <c r="C594" s="116">
        <v>0.0005352281502286346</v>
      </c>
      <c r="D594" s="114" t="s">
        <v>2559</v>
      </c>
      <c r="E594" s="114" t="b">
        <v>0</v>
      </c>
      <c r="F594" s="114" t="b">
        <v>0</v>
      </c>
      <c r="G594" s="114" t="b">
        <v>0</v>
      </c>
    </row>
    <row r="595" spans="1:7" ht="15">
      <c r="A595" s="114" t="s">
        <v>2324</v>
      </c>
      <c r="B595" s="114">
        <v>2</v>
      </c>
      <c r="C595" s="116">
        <v>0.0005352281502286346</v>
      </c>
      <c r="D595" s="114" t="s">
        <v>2559</v>
      </c>
      <c r="E595" s="114" t="b">
        <v>0</v>
      </c>
      <c r="F595" s="114" t="b">
        <v>0</v>
      </c>
      <c r="G595" s="114" t="b">
        <v>0</v>
      </c>
    </row>
    <row r="596" spans="1:7" ht="15">
      <c r="A596" s="114" t="s">
        <v>2325</v>
      </c>
      <c r="B596" s="114">
        <v>2</v>
      </c>
      <c r="C596" s="116">
        <v>0.0005352281502286346</v>
      </c>
      <c r="D596" s="114" t="s">
        <v>2559</v>
      </c>
      <c r="E596" s="114" t="b">
        <v>0</v>
      </c>
      <c r="F596" s="114" t="b">
        <v>0</v>
      </c>
      <c r="G596" s="114" t="b">
        <v>0</v>
      </c>
    </row>
    <row r="597" spans="1:7" ht="15">
      <c r="A597" s="114" t="s">
        <v>2326</v>
      </c>
      <c r="B597" s="114">
        <v>2</v>
      </c>
      <c r="C597" s="116">
        <v>0.0005352281502286346</v>
      </c>
      <c r="D597" s="114" t="s">
        <v>2559</v>
      </c>
      <c r="E597" s="114" t="b">
        <v>0</v>
      </c>
      <c r="F597" s="114" t="b">
        <v>0</v>
      </c>
      <c r="G597" s="114" t="b">
        <v>0</v>
      </c>
    </row>
    <row r="598" spans="1:7" ht="15">
      <c r="A598" s="114" t="s">
        <v>2327</v>
      </c>
      <c r="B598" s="114">
        <v>2</v>
      </c>
      <c r="C598" s="116">
        <v>0.0005352281502286346</v>
      </c>
      <c r="D598" s="114" t="s">
        <v>2559</v>
      </c>
      <c r="E598" s="114" t="b">
        <v>0</v>
      </c>
      <c r="F598" s="114" t="b">
        <v>0</v>
      </c>
      <c r="G598" s="114" t="b">
        <v>0</v>
      </c>
    </row>
    <row r="599" spans="1:7" ht="15">
      <c r="A599" s="114" t="s">
        <v>2328</v>
      </c>
      <c r="B599" s="114">
        <v>2</v>
      </c>
      <c r="C599" s="116">
        <v>0.0005352281502286346</v>
      </c>
      <c r="D599" s="114" t="s">
        <v>2559</v>
      </c>
      <c r="E599" s="114" t="b">
        <v>0</v>
      </c>
      <c r="F599" s="114" t="b">
        <v>0</v>
      </c>
      <c r="G599" s="114" t="b">
        <v>0</v>
      </c>
    </row>
    <row r="600" spans="1:7" ht="15">
      <c r="A600" s="114" t="s">
        <v>2329</v>
      </c>
      <c r="B600" s="114">
        <v>2</v>
      </c>
      <c r="C600" s="116">
        <v>0.0005352281502286346</v>
      </c>
      <c r="D600" s="114" t="s">
        <v>2559</v>
      </c>
      <c r="E600" s="114" t="b">
        <v>0</v>
      </c>
      <c r="F600" s="114" t="b">
        <v>0</v>
      </c>
      <c r="G600" s="114" t="b">
        <v>0</v>
      </c>
    </row>
    <row r="601" spans="1:7" ht="15">
      <c r="A601" s="114" t="s">
        <v>2330</v>
      </c>
      <c r="B601" s="114">
        <v>2</v>
      </c>
      <c r="C601" s="116">
        <v>0.0005352281502286346</v>
      </c>
      <c r="D601" s="114" t="s">
        <v>2559</v>
      </c>
      <c r="E601" s="114" t="b">
        <v>0</v>
      </c>
      <c r="F601" s="114" t="b">
        <v>0</v>
      </c>
      <c r="G601" s="114" t="b">
        <v>0</v>
      </c>
    </row>
    <row r="602" spans="1:7" ht="15">
      <c r="A602" s="114" t="s">
        <v>2331</v>
      </c>
      <c r="B602" s="114">
        <v>2</v>
      </c>
      <c r="C602" s="116">
        <v>0.0005352281502286346</v>
      </c>
      <c r="D602" s="114" t="s">
        <v>2559</v>
      </c>
      <c r="E602" s="114" t="b">
        <v>0</v>
      </c>
      <c r="F602" s="114" t="b">
        <v>0</v>
      </c>
      <c r="G602" s="114" t="b">
        <v>0</v>
      </c>
    </row>
    <row r="603" spans="1:7" ht="15">
      <c r="A603" s="114" t="s">
        <v>2332</v>
      </c>
      <c r="B603" s="114">
        <v>2</v>
      </c>
      <c r="C603" s="116">
        <v>0.0005352281502286346</v>
      </c>
      <c r="D603" s="114" t="s">
        <v>2559</v>
      </c>
      <c r="E603" s="114" t="b">
        <v>0</v>
      </c>
      <c r="F603" s="114" t="b">
        <v>0</v>
      </c>
      <c r="G603" s="114" t="b">
        <v>0</v>
      </c>
    </row>
    <row r="604" spans="1:7" ht="15">
      <c r="A604" s="114" t="s">
        <v>2333</v>
      </c>
      <c r="B604" s="114">
        <v>2</v>
      </c>
      <c r="C604" s="116">
        <v>0.0005352281502286346</v>
      </c>
      <c r="D604" s="114" t="s">
        <v>2559</v>
      </c>
      <c r="E604" s="114" t="b">
        <v>0</v>
      </c>
      <c r="F604" s="114" t="b">
        <v>0</v>
      </c>
      <c r="G604" s="114" t="b">
        <v>0</v>
      </c>
    </row>
    <row r="605" spans="1:7" ht="15">
      <c r="A605" s="114" t="s">
        <v>2334</v>
      </c>
      <c r="B605" s="114">
        <v>2</v>
      </c>
      <c r="C605" s="116">
        <v>0.0005352281502286346</v>
      </c>
      <c r="D605" s="114" t="s">
        <v>2559</v>
      </c>
      <c r="E605" s="114" t="b">
        <v>0</v>
      </c>
      <c r="F605" s="114" t="b">
        <v>0</v>
      </c>
      <c r="G605" s="114" t="b">
        <v>0</v>
      </c>
    </row>
    <row r="606" spans="1:7" ht="15">
      <c r="A606" s="114" t="s">
        <v>2335</v>
      </c>
      <c r="B606" s="114">
        <v>2</v>
      </c>
      <c r="C606" s="116">
        <v>0.0005352281502286346</v>
      </c>
      <c r="D606" s="114" t="s">
        <v>2559</v>
      </c>
      <c r="E606" s="114" t="b">
        <v>0</v>
      </c>
      <c r="F606" s="114" t="b">
        <v>0</v>
      </c>
      <c r="G606" s="114" t="b">
        <v>0</v>
      </c>
    </row>
    <row r="607" spans="1:7" ht="15">
      <c r="A607" s="114" t="s">
        <v>2336</v>
      </c>
      <c r="B607" s="114">
        <v>2</v>
      </c>
      <c r="C607" s="116">
        <v>0.0005352281502286346</v>
      </c>
      <c r="D607" s="114" t="s">
        <v>2559</v>
      </c>
      <c r="E607" s="114" t="b">
        <v>0</v>
      </c>
      <c r="F607" s="114" t="b">
        <v>0</v>
      </c>
      <c r="G607" s="114" t="b">
        <v>0</v>
      </c>
    </row>
    <row r="608" spans="1:7" ht="15">
      <c r="A608" s="114" t="s">
        <v>2337</v>
      </c>
      <c r="B608" s="114">
        <v>2</v>
      </c>
      <c r="C608" s="116">
        <v>0.0006112074525163633</v>
      </c>
      <c r="D608" s="114" t="s">
        <v>2559</v>
      </c>
      <c r="E608" s="114" t="b">
        <v>0</v>
      </c>
      <c r="F608" s="114" t="b">
        <v>0</v>
      </c>
      <c r="G608" s="114" t="b">
        <v>0</v>
      </c>
    </row>
    <row r="609" spans="1:7" ht="15">
      <c r="A609" s="114" t="s">
        <v>2338</v>
      </c>
      <c r="B609" s="114">
        <v>2</v>
      </c>
      <c r="C609" s="116">
        <v>0.0005352281502286346</v>
      </c>
      <c r="D609" s="114" t="s">
        <v>2559</v>
      </c>
      <c r="E609" s="114" t="b">
        <v>0</v>
      </c>
      <c r="F609" s="114" t="b">
        <v>0</v>
      </c>
      <c r="G609" s="114" t="b">
        <v>0</v>
      </c>
    </row>
    <row r="610" spans="1:7" ht="15">
      <c r="A610" s="114" t="s">
        <v>2339</v>
      </c>
      <c r="B610" s="114">
        <v>2</v>
      </c>
      <c r="C610" s="116">
        <v>0.0006112074525163633</v>
      </c>
      <c r="D610" s="114" t="s">
        <v>2559</v>
      </c>
      <c r="E610" s="114" t="b">
        <v>0</v>
      </c>
      <c r="F610" s="114" t="b">
        <v>0</v>
      </c>
      <c r="G610" s="114" t="b">
        <v>0</v>
      </c>
    </row>
    <row r="611" spans="1:7" ht="15">
      <c r="A611" s="114" t="s">
        <v>2340</v>
      </c>
      <c r="B611" s="114">
        <v>2</v>
      </c>
      <c r="C611" s="116">
        <v>0.0005352281502286346</v>
      </c>
      <c r="D611" s="114" t="s">
        <v>2559</v>
      </c>
      <c r="E611" s="114" t="b">
        <v>0</v>
      </c>
      <c r="F611" s="114" t="b">
        <v>1</v>
      </c>
      <c r="G611" s="114" t="b">
        <v>0</v>
      </c>
    </row>
    <row r="612" spans="1:7" ht="15">
      <c r="A612" s="114" t="s">
        <v>2341</v>
      </c>
      <c r="B612" s="114">
        <v>2</v>
      </c>
      <c r="C612" s="116">
        <v>0.0005352281502286346</v>
      </c>
      <c r="D612" s="114" t="s">
        <v>2559</v>
      </c>
      <c r="E612" s="114" t="b">
        <v>0</v>
      </c>
      <c r="F612" s="114" t="b">
        <v>0</v>
      </c>
      <c r="G612" s="114" t="b">
        <v>0</v>
      </c>
    </row>
    <row r="613" spans="1:7" ht="15">
      <c r="A613" s="114" t="s">
        <v>2342</v>
      </c>
      <c r="B613" s="114">
        <v>2</v>
      </c>
      <c r="C613" s="116">
        <v>0.0006112074525163633</v>
      </c>
      <c r="D613" s="114" t="s">
        <v>2559</v>
      </c>
      <c r="E613" s="114" t="b">
        <v>0</v>
      </c>
      <c r="F613" s="114" t="b">
        <v>0</v>
      </c>
      <c r="G613" s="114" t="b">
        <v>0</v>
      </c>
    </row>
    <row r="614" spans="1:7" ht="15">
      <c r="A614" s="114" t="s">
        <v>2343</v>
      </c>
      <c r="B614" s="114">
        <v>2</v>
      </c>
      <c r="C614" s="116">
        <v>0.0006112074525163633</v>
      </c>
      <c r="D614" s="114" t="s">
        <v>2559</v>
      </c>
      <c r="E614" s="114" t="b">
        <v>0</v>
      </c>
      <c r="F614" s="114" t="b">
        <v>0</v>
      </c>
      <c r="G614" s="114" t="b">
        <v>0</v>
      </c>
    </row>
    <row r="615" spans="1:7" ht="15">
      <c r="A615" s="114" t="s">
        <v>2344</v>
      </c>
      <c r="B615" s="114">
        <v>2</v>
      </c>
      <c r="C615" s="116">
        <v>0.0005352281502286346</v>
      </c>
      <c r="D615" s="114" t="s">
        <v>2559</v>
      </c>
      <c r="E615" s="114" t="b">
        <v>0</v>
      </c>
      <c r="F615" s="114" t="b">
        <v>0</v>
      </c>
      <c r="G615" s="114" t="b">
        <v>0</v>
      </c>
    </row>
    <row r="616" spans="1:7" ht="15">
      <c r="A616" s="114" t="s">
        <v>2345</v>
      </c>
      <c r="B616" s="114">
        <v>2</v>
      </c>
      <c r="C616" s="116">
        <v>0.0005352281502286346</v>
      </c>
      <c r="D616" s="114" t="s">
        <v>2559</v>
      </c>
      <c r="E616" s="114" t="b">
        <v>0</v>
      </c>
      <c r="F616" s="114" t="b">
        <v>0</v>
      </c>
      <c r="G616" s="114" t="b">
        <v>0</v>
      </c>
    </row>
    <row r="617" spans="1:7" ht="15">
      <c r="A617" s="114" t="s">
        <v>2346</v>
      </c>
      <c r="B617" s="114">
        <v>2</v>
      </c>
      <c r="C617" s="116">
        <v>0.0005352281502286346</v>
      </c>
      <c r="D617" s="114" t="s">
        <v>2559</v>
      </c>
      <c r="E617" s="114" t="b">
        <v>0</v>
      </c>
      <c r="F617" s="114" t="b">
        <v>0</v>
      </c>
      <c r="G617" s="114" t="b">
        <v>0</v>
      </c>
    </row>
    <row r="618" spans="1:7" ht="15">
      <c r="A618" s="114" t="s">
        <v>2347</v>
      </c>
      <c r="B618" s="114">
        <v>2</v>
      </c>
      <c r="C618" s="116">
        <v>0.0006112074525163633</v>
      </c>
      <c r="D618" s="114" t="s">
        <v>2559</v>
      </c>
      <c r="E618" s="114" t="b">
        <v>0</v>
      </c>
      <c r="F618" s="114" t="b">
        <v>0</v>
      </c>
      <c r="G618" s="114" t="b">
        <v>0</v>
      </c>
    </row>
    <row r="619" spans="1:7" ht="15">
      <c r="A619" s="114" t="s">
        <v>2348</v>
      </c>
      <c r="B619" s="114">
        <v>2</v>
      </c>
      <c r="C619" s="116">
        <v>0.0006112074525163633</v>
      </c>
      <c r="D619" s="114" t="s">
        <v>2559</v>
      </c>
      <c r="E619" s="114" t="b">
        <v>0</v>
      </c>
      <c r="F619" s="114" t="b">
        <v>0</v>
      </c>
      <c r="G619" s="114" t="b">
        <v>0</v>
      </c>
    </row>
    <row r="620" spans="1:7" ht="15">
      <c r="A620" s="114" t="s">
        <v>2349</v>
      </c>
      <c r="B620" s="114">
        <v>2</v>
      </c>
      <c r="C620" s="116">
        <v>0.0005352281502286346</v>
      </c>
      <c r="D620" s="114" t="s">
        <v>2559</v>
      </c>
      <c r="E620" s="114" t="b">
        <v>0</v>
      </c>
      <c r="F620" s="114" t="b">
        <v>0</v>
      </c>
      <c r="G620" s="114" t="b">
        <v>0</v>
      </c>
    </row>
    <row r="621" spans="1:7" ht="15">
      <c r="A621" s="114" t="s">
        <v>2350</v>
      </c>
      <c r="B621" s="114">
        <v>2</v>
      </c>
      <c r="C621" s="116">
        <v>0.0005352281502286346</v>
      </c>
      <c r="D621" s="114" t="s">
        <v>2559</v>
      </c>
      <c r="E621" s="114" t="b">
        <v>0</v>
      </c>
      <c r="F621" s="114" t="b">
        <v>0</v>
      </c>
      <c r="G621" s="114" t="b">
        <v>0</v>
      </c>
    </row>
    <row r="622" spans="1:7" ht="15">
      <c r="A622" s="114" t="s">
        <v>2351</v>
      </c>
      <c r="B622" s="114">
        <v>2</v>
      </c>
      <c r="C622" s="116">
        <v>0.0005352281502286346</v>
      </c>
      <c r="D622" s="114" t="s">
        <v>2559</v>
      </c>
      <c r="E622" s="114" t="b">
        <v>0</v>
      </c>
      <c r="F622" s="114" t="b">
        <v>0</v>
      </c>
      <c r="G622" s="114" t="b">
        <v>0</v>
      </c>
    </row>
    <row r="623" spans="1:7" ht="15">
      <c r="A623" s="114" t="s">
        <v>2352</v>
      </c>
      <c r="B623" s="114">
        <v>2</v>
      </c>
      <c r="C623" s="116">
        <v>0.0005352281502286346</v>
      </c>
      <c r="D623" s="114" t="s">
        <v>2559</v>
      </c>
      <c r="E623" s="114" t="b">
        <v>0</v>
      </c>
      <c r="F623" s="114" t="b">
        <v>0</v>
      </c>
      <c r="G623" s="114" t="b">
        <v>0</v>
      </c>
    </row>
    <row r="624" spans="1:7" ht="15">
      <c r="A624" s="114" t="s">
        <v>2353</v>
      </c>
      <c r="B624" s="114">
        <v>2</v>
      </c>
      <c r="C624" s="116">
        <v>0.0005352281502286346</v>
      </c>
      <c r="D624" s="114" t="s">
        <v>2559</v>
      </c>
      <c r="E624" s="114" t="b">
        <v>1</v>
      </c>
      <c r="F624" s="114" t="b">
        <v>0</v>
      </c>
      <c r="G624" s="114" t="b">
        <v>0</v>
      </c>
    </row>
    <row r="625" spans="1:7" ht="15">
      <c r="A625" s="114" t="s">
        <v>2354</v>
      </c>
      <c r="B625" s="114">
        <v>2</v>
      </c>
      <c r="C625" s="116">
        <v>0.0005352281502286346</v>
      </c>
      <c r="D625" s="114" t="s">
        <v>2559</v>
      </c>
      <c r="E625" s="114" t="b">
        <v>0</v>
      </c>
      <c r="F625" s="114" t="b">
        <v>0</v>
      </c>
      <c r="G625" s="114" t="b">
        <v>0</v>
      </c>
    </row>
    <row r="626" spans="1:7" ht="15">
      <c r="A626" s="114" t="s">
        <v>2355</v>
      </c>
      <c r="B626" s="114">
        <v>2</v>
      </c>
      <c r="C626" s="116">
        <v>0.0005352281502286346</v>
      </c>
      <c r="D626" s="114" t="s">
        <v>2559</v>
      </c>
      <c r="E626" s="114" t="b">
        <v>0</v>
      </c>
      <c r="F626" s="114" t="b">
        <v>0</v>
      </c>
      <c r="G626" s="114" t="b">
        <v>0</v>
      </c>
    </row>
    <row r="627" spans="1:7" ht="15">
      <c r="A627" s="114" t="s">
        <v>2356</v>
      </c>
      <c r="B627" s="114">
        <v>2</v>
      </c>
      <c r="C627" s="116">
        <v>0.0005352281502286346</v>
      </c>
      <c r="D627" s="114" t="s">
        <v>2559</v>
      </c>
      <c r="E627" s="114" t="b">
        <v>0</v>
      </c>
      <c r="F627" s="114" t="b">
        <v>0</v>
      </c>
      <c r="G627" s="114" t="b">
        <v>0</v>
      </c>
    </row>
    <row r="628" spans="1:7" ht="15">
      <c r="A628" s="114" t="s">
        <v>2357</v>
      </c>
      <c r="B628" s="114">
        <v>2</v>
      </c>
      <c r="C628" s="116">
        <v>0.0005352281502286346</v>
      </c>
      <c r="D628" s="114" t="s">
        <v>2559</v>
      </c>
      <c r="E628" s="114" t="b">
        <v>0</v>
      </c>
      <c r="F628" s="114" t="b">
        <v>0</v>
      </c>
      <c r="G628" s="114" t="b">
        <v>0</v>
      </c>
    </row>
    <row r="629" spans="1:7" ht="15">
      <c r="A629" s="114" t="s">
        <v>2358</v>
      </c>
      <c r="B629" s="114">
        <v>2</v>
      </c>
      <c r="C629" s="116">
        <v>0.0005352281502286346</v>
      </c>
      <c r="D629" s="114" t="s">
        <v>2559</v>
      </c>
      <c r="E629" s="114" t="b">
        <v>0</v>
      </c>
      <c r="F629" s="114" t="b">
        <v>0</v>
      </c>
      <c r="G629" s="114" t="b">
        <v>0</v>
      </c>
    </row>
    <row r="630" spans="1:7" ht="15">
      <c r="A630" s="114" t="s">
        <v>2359</v>
      </c>
      <c r="B630" s="114">
        <v>2</v>
      </c>
      <c r="C630" s="116">
        <v>0.0005352281502286346</v>
      </c>
      <c r="D630" s="114" t="s">
        <v>2559</v>
      </c>
      <c r="E630" s="114" t="b">
        <v>0</v>
      </c>
      <c r="F630" s="114" t="b">
        <v>0</v>
      </c>
      <c r="G630" s="114" t="b">
        <v>0</v>
      </c>
    </row>
    <row r="631" spans="1:7" ht="15">
      <c r="A631" s="114" t="s">
        <v>2360</v>
      </c>
      <c r="B631" s="114">
        <v>2</v>
      </c>
      <c r="C631" s="116">
        <v>0.0005352281502286346</v>
      </c>
      <c r="D631" s="114" t="s">
        <v>2559</v>
      </c>
      <c r="E631" s="114" t="b">
        <v>0</v>
      </c>
      <c r="F631" s="114" t="b">
        <v>0</v>
      </c>
      <c r="G631" s="114" t="b">
        <v>0</v>
      </c>
    </row>
    <row r="632" spans="1:7" ht="15">
      <c r="A632" s="114" t="s">
        <v>2361</v>
      </c>
      <c r="B632" s="114">
        <v>2</v>
      </c>
      <c r="C632" s="116">
        <v>0.0005352281502286346</v>
      </c>
      <c r="D632" s="114" t="s">
        <v>2559</v>
      </c>
      <c r="E632" s="114" t="b">
        <v>0</v>
      </c>
      <c r="F632" s="114" t="b">
        <v>0</v>
      </c>
      <c r="G632" s="114" t="b">
        <v>0</v>
      </c>
    </row>
    <row r="633" spans="1:7" ht="15">
      <c r="A633" s="114" t="s">
        <v>2362</v>
      </c>
      <c r="B633" s="114">
        <v>2</v>
      </c>
      <c r="C633" s="116">
        <v>0.0005352281502286346</v>
      </c>
      <c r="D633" s="114" t="s">
        <v>2559</v>
      </c>
      <c r="E633" s="114" t="b">
        <v>0</v>
      </c>
      <c r="F633" s="114" t="b">
        <v>0</v>
      </c>
      <c r="G633" s="114" t="b">
        <v>0</v>
      </c>
    </row>
    <row r="634" spans="1:7" ht="15">
      <c r="A634" s="114" t="s">
        <v>2363</v>
      </c>
      <c r="B634" s="114">
        <v>2</v>
      </c>
      <c r="C634" s="116">
        <v>0.0005352281502286346</v>
      </c>
      <c r="D634" s="114" t="s">
        <v>2559</v>
      </c>
      <c r="E634" s="114" t="b">
        <v>0</v>
      </c>
      <c r="F634" s="114" t="b">
        <v>0</v>
      </c>
      <c r="G634" s="114" t="b">
        <v>0</v>
      </c>
    </row>
    <row r="635" spans="1:7" ht="15">
      <c r="A635" s="114" t="s">
        <v>2364</v>
      </c>
      <c r="B635" s="114">
        <v>2</v>
      </c>
      <c r="C635" s="116">
        <v>0.0005352281502286346</v>
      </c>
      <c r="D635" s="114" t="s">
        <v>2559</v>
      </c>
      <c r="E635" s="114" t="b">
        <v>0</v>
      </c>
      <c r="F635" s="114" t="b">
        <v>0</v>
      </c>
      <c r="G635" s="114" t="b">
        <v>0</v>
      </c>
    </row>
    <row r="636" spans="1:7" ht="15">
      <c r="A636" s="114" t="s">
        <v>2365</v>
      </c>
      <c r="B636" s="114">
        <v>2</v>
      </c>
      <c r="C636" s="116">
        <v>0.0005352281502286346</v>
      </c>
      <c r="D636" s="114" t="s">
        <v>2559</v>
      </c>
      <c r="E636" s="114" t="b">
        <v>0</v>
      </c>
      <c r="F636" s="114" t="b">
        <v>1</v>
      </c>
      <c r="G636" s="114" t="b">
        <v>0</v>
      </c>
    </row>
    <row r="637" spans="1:7" ht="15">
      <c r="A637" s="114" t="s">
        <v>2366</v>
      </c>
      <c r="B637" s="114">
        <v>2</v>
      </c>
      <c r="C637" s="116">
        <v>0.0005352281502286346</v>
      </c>
      <c r="D637" s="114" t="s">
        <v>2559</v>
      </c>
      <c r="E637" s="114" t="b">
        <v>0</v>
      </c>
      <c r="F637" s="114" t="b">
        <v>0</v>
      </c>
      <c r="G637" s="114" t="b">
        <v>0</v>
      </c>
    </row>
    <row r="638" spans="1:7" ht="15">
      <c r="A638" s="114" t="s">
        <v>2367</v>
      </c>
      <c r="B638" s="114">
        <v>2</v>
      </c>
      <c r="C638" s="116">
        <v>0.0005352281502286346</v>
      </c>
      <c r="D638" s="114" t="s">
        <v>2559</v>
      </c>
      <c r="E638" s="114" t="b">
        <v>0</v>
      </c>
      <c r="F638" s="114" t="b">
        <v>0</v>
      </c>
      <c r="G638" s="114" t="b">
        <v>0</v>
      </c>
    </row>
    <row r="639" spans="1:7" ht="15">
      <c r="A639" s="114" t="s">
        <v>2368</v>
      </c>
      <c r="B639" s="114">
        <v>2</v>
      </c>
      <c r="C639" s="116">
        <v>0.0005352281502286346</v>
      </c>
      <c r="D639" s="114" t="s">
        <v>2559</v>
      </c>
      <c r="E639" s="114" t="b">
        <v>1</v>
      </c>
      <c r="F639" s="114" t="b">
        <v>0</v>
      </c>
      <c r="G639" s="114" t="b">
        <v>0</v>
      </c>
    </row>
    <row r="640" spans="1:7" ht="15">
      <c r="A640" s="114" t="s">
        <v>2369</v>
      </c>
      <c r="B640" s="114">
        <v>2</v>
      </c>
      <c r="C640" s="116">
        <v>0.0006112074525163633</v>
      </c>
      <c r="D640" s="114" t="s">
        <v>2559</v>
      </c>
      <c r="E640" s="114" t="b">
        <v>0</v>
      </c>
      <c r="F640" s="114" t="b">
        <v>0</v>
      </c>
      <c r="G640" s="114" t="b">
        <v>0</v>
      </c>
    </row>
    <row r="641" spans="1:7" ht="15">
      <c r="A641" s="114" t="s">
        <v>2370</v>
      </c>
      <c r="B641" s="114">
        <v>2</v>
      </c>
      <c r="C641" s="116">
        <v>0.0005352281502286346</v>
      </c>
      <c r="D641" s="114" t="s">
        <v>2559</v>
      </c>
      <c r="E641" s="114" t="b">
        <v>0</v>
      </c>
      <c r="F641" s="114" t="b">
        <v>0</v>
      </c>
      <c r="G641" s="114" t="b">
        <v>0</v>
      </c>
    </row>
    <row r="642" spans="1:7" ht="15">
      <c r="A642" s="114" t="s">
        <v>2371</v>
      </c>
      <c r="B642" s="114">
        <v>2</v>
      </c>
      <c r="C642" s="116">
        <v>0.0006112074525163633</v>
      </c>
      <c r="D642" s="114" t="s">
        <v>2559</v>
      </c>
      <c r="E642" s="114" t="b">
        <v>0</v>
      </c>
      <c r="F642" s="114" t="b">
        <v>0</v>
      </c>
      <c r="G642" s="114" t="b">
        <v>0</v>
      </c>
    </row>
    <row r="643" spans="1:7" ht="15">
      <c r="A643" s="114" t="s">
        <v>2372</v>
      </c>
      <c r="B643" s="114">
        <v>2</v>
      </c>
      <c r="C643" s="116">
        <v>0.0006112074525163633</v>
      </c>
      <c r="D643" s="114" t="s">
        <v>2559</v>
      </c>
      <c r="E643" s="114" t="b">
        <v>0</v>
      </c>
      <c r="F643" s="114" t="b">
        <v>0</v>
      </c>
      <c r="G643" s="114" t="b">
        <v>0</v>
      </c>
    </row>
    <row r="644" spans="1:7" ht="15">
      <c r="A644" s="114" t="s">
        <v>2373</v>
      </c>
      <c r="B644" s="114">
        <v>2</v>
      </c>
      <c r="C644" s="116">
        <v>0.0005352281502286346</v>
      </c>
      <c r="D644" s="114" t="s">
        <v>2559</v>
      </c>
      <c r="E644" s="114" t="b">
        <v>0</v>
      </c>
      <c r="F644" s="114" t="b">
        <v>0</v>
      </c>
      <c r="G644" s="114" t="b">
        <v>0</v>
      </c>
    </row>
    <row r="645" spans="1:7" ht="15">
      <c r="A645" s="114" t="s">
        <v>2374</v>
      </c>
      <c r="B645" s="114">
        <v>2</v>
      </c>
      <c r="C645" s="116">
        <v>0.0005352281502286346</v>
      </c>
      <c r="D645" s="114" t="s">
        <v>2559</v>
      </c>
      <c r="E645" s="114" t="b">
        <v>0</v>
      </c>
      <c r="F645" s="114" t="b">
        <v>0</v>
      </c>
      <c r="G645" s="114" t="b">
        <v>0</v>
      </c>
    </row>
    <row r="646" spans="1:7" ht="15">
      <c r="A646" s="114" t="s">
        <v>2375</v>
      </c>
      <c r="B646" s="114">
        <v>2</v>
      </c>
      <c r="C646" s="116">
        <v>0.0005352281502286346</v>
      </c>
      <c r="D646" s="114" t="s">
        <v>2559</v>
      </c>
      <c r="E646" s="114" t="b">
        <v>0</v>
      </c>
      <c r="F646" s="114" t="b">
        <v>0</v>
      </c>
      <c r="G646" s="114" t="b">
        <v>0</v>
      </c>
    </row>
    <row r="647" spans="1:7" ht="15">
      <c r="A647" s="114" t="s">
        <v>2376</v>
      </c>
      <c r="B647" s="114">
        <v>2</v>
      </c>
      <c r="C647" s="116">
        <v>0.0005352281502286346</v>
      </c>
      <c r="D647" s="114" t="s">
        <v>2559</v>
      </c>
      <c r="E647" s="114" t="b">
        <v>0</v>
      </c>
      <c r="F647" s="114" t="b">
        <v>0</v>
      </c>
      <c r="G647" s="114" t="b">
        <v>0</v>
      </c>
    </row>
    <row r="648" spans="1:7" ht="15">
      <c r="A648" s="114" t="s">
        <v>2377</v>
      </c>
      <c r="B648" s="114">
        <v>2</v>
      </c>
      <c r="C648" s="116">
        <v>0.0006112074525163633</v>
      </c>
      <c r="D648" s="114" t="s">
        <v>2559</v>
      </c>
      <c r="E648" s="114" t="b">
        <v>0</v>
      </c>
      <c r="F648" s="114" t="b">
        <v>0</v>
      </c>
      <c r="G648" s="114" t="b">
        <v>0</v>
      </c>
    </row>
    <row r="649" spans="1:7" ht="15">
      <c r="A649" s="114" t="s">
        <v>2378</v>
      </c>
      <c r="B649" s="114">
        <v>2</v>
      </c>
      <c r="C649" s="116">
        <v>0.0006112074525163633</v>
      </c>
      <c r="D649" s="114" t="s">
        <v>2559</v>
      </c>
      <c r="E649" s="114" t="b">
        <v>0</v>
      </c>
      <c r="F649" s="114" t="b">
        <v>0</v>
      </c>
      <c r="G649" s="114" t="b">
        <v>0</v>
      </c>
    </row>
    <row r="650" spans="1:7" ht="15">
      <c r="A650" s="114" t="s">
        <v>2379</v>
      </c>
      <c r="B650" s="114">
        <v>2</v>
      </c>
      <c r="C650" s="116">
        <v>0.0005352281502286346</v>
      </c>
      <c r="D650" s="114" t="s">
        <v>2559</v>
      </c>
      <c r="E650" s="114" t="b">
        <v>0</v>
      </c>
      <c r="F650" s="114" t="b">
        <v>0</v>
      </c>
      <c r="G650" s="114" t="b">
        <v>0</v>
      </c>
    </row>
    <row r="651" spans="1:7" ht="15">
      <c r="A651" s="114" t="s">
        <v>2380</v>
      </c>
      <c r="B651" s="114">
        <v>2</v>
      </c>
      <c r="C651" s="116">
        <v>0.0005352281502286346</v>
      </c>
      <c r="D651" s="114" t="s">
        <v>2559</v>
      </c>
      <c r="E651" s="114" t="b">
        <v>0</v>
      </c>
      <c r="F651" s="114" t="b">
        <v>0</v>
      </c>
      <c r="G651" s="114" t="b">
        <v>0</v>
      </c>
    </row>
    <row r="652" spans="1:7" ht="15">
      <c r="A652" s="114" t="s">
        <v>2381</v>
      </c>
      <c r="B652" s="114">
        <v>2</v>
      </c>
      <c r="C652" s="116">
        <v>0.0005352281502286346</v>
      </c>
      <c r="D652" s="114" t="s">
        <v>2559</v>
      </c>
      <c r="E652" s="114" t="b">
        <v>0</v>
      </c>
      <c r="F652" s="114" t="b">
        <v>0</v>
      </c>
      <c r="G652" s="114" t="b">
        <v>0</v>
      </c>
    </row>
    <row r="653" spans="1:7" ht="15">
      <c r="A653" s="114" t="s">
        <v>2382</v>
      </c>
      <c r="B653" s="114">
        <v>2</v>
      </c>
      <c r="C653" s="116">
        <v>0.0005352281502286346</v>
      </c>
      <c r="D653" s="114" t="s">
        <v>2559</v>
      </c>
      <c r="E653" s="114" t="b">
        <v>0</v>
      </c>
      <c r="F653" s="114" t="b">
        <v>0</v>
      </c>
      <c r="G653" s="114" t="b">
        <v>0</v>
      </c>
    </row>
    <row r="654" spans="1:7" ht="15">
      <c r="A654" s="114" t="s">
        <v>2383</v>
      </c>
      <c r="B654" s="114">
        <v>2</v>
      </c>
      <c r="C654" s="116">
        <v>0.0005352281502286346</v>
      </c>
      <c r="D654" s="114" t="s">
        <v>2559</v>
      </c>
      <c r="E654" s="114" t="b">
        <v>0</v>
      </c>
      <c r="F654" s="114" t="b">
        <v>0</v>
      </c>
      <c r="G654" s="114" t="b">
        <v>0</v>
      </c>
    </row>
    <row r="655" spans="1:7" ht="15">
      <c r="A655" s="114" t="s">
        <v>2384</v>
      </c>
      <c r="B655" s="114">
        <v>2</v>
      </c>
      <c r="C655" s="116">
        <v>0.0005352281502286346</v>
      </c>
      <c r="D655" s="114" t="s">
        <v>2559</v>
      </c>
      <c r="E655" s="114" t="b">
        <v>0</v>
      </c>
      <c r="F655" s="114" t="b">
        <v>0</v>
      </c>
      <c r="G655" s="114" t="b">
        <v>0</v>
      </c>
    </row>
    <row r="656" spans="1:7" ht="15">
      <c r="A656" s="114" t="s">
        <v>2385</v>
      </c>
      <c r="B656" s="114">
        <v>2</v>
      </c>
      <c r="C656" s="116">
        <v>0.0005352281502286346</v>
      </c>
      <c r="D656" s="114" t="s">
        <v>2559</v>
      </c>
      <c r="E656" s="114" t="b">
        <v>0</v>
      </c>
      <c r="F656" s="114" t="b">
        <v>0</v>
      </c>
      <c r="G656" s="114" t="b">
        <v>0</v>
      </c>
    </row>
    <row r="657" spans="1:7" ht="15">
      <c r="A657" s="114" t="s">
        <v>2386</v>
      </c>
      <c r="B657" s="114">
        <v>2</v>
      </c>
      <c r="C657" s="116">
        <v>0.0005352281502286346</v>
      </c>
      <c r="D657" s="114" t="s">
        <v>2559</v>
      </c>
      <c r="E657" s="114" t="b">
        <v>0</v>
      </c>
      <c r="F657" s="114" t="b">
        <v>0</v>
      </c>
      <c r="G657" s="114" t="b">
        <v>0</v>
      </c>
    </row>
    <row r="658" spans="1:7" ht="15">
      <c r="A658" s="114" t="s">
        <v>2387</v>
      </c>
      <c r="B658" s="114">
        <v>2</v>
      </c>
      <c r="C658" s="116">
        <v>0.0006112074525163633</v>
      </c>
      <c r="D658" s="114" t="s">
        <v>2559</v>
      </c>
      <c r="E658" s="114" t="b">
        <v>0</v>
      </c>
      <c r="F658" s="114" t="b">
        <v>0</v>
      </c>
      <c r="G658" s="114" t="b">
        <v>0</v>
      </c>
    </row>
    <row r="659" spans="1:7" ht="15">
      <c r="A659" s="114" t="s">
        <v>2388</v>
      </c>
      <c r="B659" s="114">
        <v>2</v>
      </c>
      <c r="C659" s="116">
        <v>0.0006112074525163633</v>
      </c>
      <c r="D659" s="114" t="s">
        <v>2559</v>
      </c>
      <c r="E659" s="114" t="b">
        <v>0</v>
      </c>
      <c r="F659" s="114" t="b">
        <v>0</v>
      </c>
      <c r="G659" s="114" t="b">
        <v>0</v>
      </c>
    </row>
    <row r="660" spans="1:7" ht="15">
      <c r="A660" s="114" t="s">
        <v>2389</v>
      </c>
      <c r="B660" s="114">
        <v>2</v>
      </c>
      <c r="C660" s="116">
        <v>0.0005352281502286346</v>
      </c>
      <c r="D660" s="114" t="s">
        <v>2559</v>
      </c>
      <c r="E660" s="114" t="b">
        <v>0</v>
      </c>
      <c r="F660" s="114" t="b">
        <v>1</v>
      </c>
      <c r="G660" s="114" t="b">
        <v>0</v>
      </c>
    </row>
    <row r="661" spans="1:7" ht="15">
      <c r="A661" s="114" t="s">
        <v>2390</v>
      </c>
      <c r="B661" s="114">
        <v>2</v>
      </c>
      <c r="C661" s="116">
        <v>0.0006112074525163633</v>
      </c>
      <c r="D661" s="114" t="s">
        <v>2559</v>
      </c>
      <c r="E661" s="114" t="b">
        <v>0</v>
      </c>
      <c r="F661" s="114" t="b">
        <v>0</v>
      </c>
      <c r="G661" s="114" t="b">
        <v>0</v>
      </c>
    </row>
    <row r="662" spans="1:7" ht="15">
      <c r="A662" s="114" t="s">
        <v>2391</v>
      </c>
      <c r="B662" s="114">
        <v>2</v>
      </c>
      <c r="C662" s="116">
        <v>0.0006112074525163633</v>
      </c>
      <c r="D662" s="114" t="s">
        <v>2559</v>
      </c>
      <c r="E662" s="114" t="b">
        <v>0</v>
      </c>
      <c r="F662" s="114" t="b">
        <v>0</v>
      </c>
      <c r="G662" s="114" t="b">
        <v>0</v>
      </c>
    </row>
    <row r="663" spans="1:7" ht="15">
      <c r="A663" s="114" t="s">
        <v>2392</v>
      </c>
      <c r="B663" s="114">
        <v>2</v>
      </c>
      <c r="C663" s="116">
        <v>0.0005352281502286346</v>
      </c>
      <c r="D663" s="114" t="s">
        <v>2559</v>
      </c>
      <c r="E663" s="114" t="b">
        <v>0</v>
      </c>
      <c r="F663" s="114" t="b">
        <v>0</v>
      </c>
      <c r="G663" s="114" t="b">
        <v>0</v>
      </c>
    </row>
    <row r="664" spans="1:7" ht="15">
      <c r="A664" s="114" t="s">
        <v>2393</v>
      </c>
      <c r="B664" s="114">
        <v>2</v>
      </c>
      <c r="C664" s="116">
        <v>0.0005352281502286346</v>
      </c>
      <c r="D664" s="114" t="s">
        <v>2559</v>
      </c>
      <c r="E664" s="114" t="b">
        <v>0</v>
      </c>
      <c r="F664" s="114" t="b">
        <v>0</v>
      </c>
      <c r="G664" s="114" t="b">
        <v>0</v>
      </c>
    </row>
    <row r="665" spans="1:7" ht="15">
      <c r="A665" s="114" t="s">
        <v>2394</v>
      </c>
      <c r="B665" s="114">
        <v>2</v>
      </c>
      <c r="C665" s="116">
        <v>0.0005352281502286346</v>
      </c>
      <c r="D665" s="114" t="s">
        <v>2559</v>
      </c>
      <c r="E665" s="114" t="b">
        <v>0</v>
      </c>
      <c r="F665" s="114" t="b">
        <v>0</v>
      </c>
      <c r="G665" s="114" t="b">
        <v>0</v>
      </c>
    </row>
    <row r="666" spans="1:7" ht="15">
      <c r="A666" s="114" t="s">
        <v>2395</v>
      </c>
      <c r="B666" s="114">
        <v>2</v>
      </c>
      <c r="C666" s="116">
        <v>0.0006112074525163633</v>
      </c>
      <c r="D666" s="114" t="s">
        <v>2559</v>
      </c>
      <c r="E666" s="114" t="b">
        <v>0</v>
      </c>
      <c r="F666" s="114" t="b">
        <v>0</v>
      </c>
      <c r="G666" s="114" t="b">
        <v>0</v>
      </c>
    </row>
    <row r="667" spans="1:7" ht="15">
      <c r="A667" s="114" t="s">
        <v>2396</v>
      </c>
      <c r="B667" s="114">
        <v>2</v>
      </c>
      <c r="C667" s="116">
        <v>0.0005352281502286346</v>
      </c>
      <c r="D667" s="114" t="s">
        <v>2559</v>
      </c>
      <c r="E667" s="114" t="b">
        <v>0</v>
      </c>
      <c r="F667" s="114" t="b">
        <v>0</v>
      </c>
      <c r="G667" s="114" t="b">
        <v>0</v>
      </c>
    </row>
    <row r="668" spans="1:7" ht="15">
      <c r="A668" s="114" t="s">
        <v>2397</v>
      </c>
      <c r="B668" s="114">
        <v>2</v>
      </c>
      <c r="C668" s="116">
        <v>0.0005352281502286346</v>
      </c>
      <c r="D668" s="114" t="s">
        <v>2559</v>
      </c>
      <c r="E668" s="114" t="b">
        <v>0</v>
      </c>
      <c r="F668" s="114" t="b">
        <v>1</v>
      </c>
      <c r="G668" s="114" t="b">
        <v>0</v>
      </c>
    </row>
    <row r="669" spans="1:7" ht="15">
      <c r="A669" s="114" t="s">
        <v>2398</v>
      </c>
      <c r="B669" s="114">
        <v>2</v>
      </c>
      <c r="C669" s="116">
        <v>0.0005352281502286346</v>
      </c>
      <c r="D669" s="114" t="s">
        <v>2559</v>
      </c>
      <c r="E669" s="114" t="b">
        <v>0</v>
      </c>
      <c r="F669" s="114" t="b">
        <v>0</v>
      </c>
      <c r="G669" s="114" t="b">
        <v>0</v>
      </c>
    </row>
    <row r="670" spans="1:7" ht="15">
      <c r="A670" s="114" t="s">
        <v>2399</v>
      </c>
      <c r="B670" s="114">
        <v>2</v>
      </c>
      <c r="C670" s="116">
        <v>0.0005352281502286346</v>
      </c>
      <c r="D670" s="114" t="s">
        <v>2559</v>
      </c>
      <c r="E670" s="114" t="b">
        <v>0</v>
      </c>
      <c r="F670" s="114" t="b">
        <v>0</v>
      </c>
      <c r="G670" s="114" t="b">
        <v>0</v>
      </c>
    </row>
    <row r="671" spans="1:7" ht="15">
      <c r="A671" s="114" t="s">
        <v>2400</v>
      </c>
      <c r="B671" s="114">
        <v>2</v>
      </c>
      <c r="C671" s="116">
        <v>0.0006112074525163633</v>
      </c>
      <c r="D671" s="114" t="s">
        <v>2559</v>
      </c>
      <c r="E671" s="114" t="b">
        <v>0</v>
      </c>
      <c r="F671" s="114" t="b">
        <v>0</v>
      </c>
      <c r="G671" s="114" t="b">
        <v>0</v>
      </c>
    </row>
    <row r="672" spans="1:7" ht="15">
      <c r="A672" s="114" t="s">
        <v>2401</v>
      </c>
      <c r="B672" s="114">
        <v>2</v>
      </c>
      <c r="C672" s="116">
        <v>0.0005352281502286346</v>
      </c>
      <c r="D672" s="114" t="s">
        <v>2559</v>
      </c>
      <c r="E672" s="114" t="b">
        <v>0</v>
      </c>
      <c r="F672" s="114" t="b">
        <v>0</v>
      </c>
      <c r="G672" s="114" t="b">
        <v>0</v>
      </c>
    </row>
    <row r="673" spans="1:7" ht="15">
      <c r="A673" s="114" t="s">
        <v>2402</v>
      </c>
      <c r="B673" s="114">
        <v>2</v>
      </c>
      <c r="C673" s="116">
        <v>0.0006112074525163633</v>
      </c>
      <c r="D673" s="114" t="s">
        <v>2559</v>
      </c>
      <c r="E673" s="114" t="b">
        <v>0</v>
      </c>
      <c r="F673" s="114" t="b">
        <v>0</v>
      </c>
      <c r="G673" s="114" t="b">
        <v>0</v>
      </c>
    </row>
    <row r="674" spans="1:7" ht="15">
      <c r="A674" s="114" t="s">
        <v>2403</v>
      </c>
      <c r="B674" s="114">
        <v>2</v>
      </c>
      <c r="C674" s="116">
        <v>0.0006112074525163633</v>
      </c>
      <c r="D674" s="114" t="s">
        <v>2559</v>
      </c>
      <c r="E674" s="114" t="b">
        <v>0</v>
      </c>
      <c r="F674" s="114" t="b">
        <v>0</v>
      </c>
      <c r="G674" s="114" t="b">
        <v>0</v>
      </c>
    </row>
    <row r="675" spans="1:7" ht="15">
      <c r="A675" s="114" t="s">
        <v>2404</v>
      </c>
      <c r="B675" s="114">
        <v>2</v>
      </c>
      <c r="C675" s="116">
        <v>0.0006112074525163633</v>
      </c>
      <c r="D675" s="114" t="s">
        <v>2559</v>
      </c>
      <c r="E675" s="114" t="b">
        <v>0</v>
      </c>
      <c r="F675" s="114" t="b">
        <v>0</v>
      </c>
      <c r="G675" s="114" t="b">
        <v>0</v>
      </c>
    </row>
    <row r="676" spans="1:7" ht="15">
      <c r="A676" s="114" t="s">
        <v>2405</v>
      </c>
      <c r="B676" s="114">
        <v>2</v>
      </c>
      <c r="C676" s="116">
        <v>0.0005352281502286346</v>
      </c>
      <c r="D676" s="114" t="s">
        <v>2559</v>
      </c>
      <c r="E676" s="114" t="b">
        <v>0</v>
      </c>
      <c r="F676" s="114" t="b">
        <v>0</v>
      </c>
      <c r="G676" s="114" t="b">
        <v>0</v>
      </c>
    </row>
    <row r="677" spans="1:7" ht="15">
      <c r="A677" s="114" t="s">
        <v>2406</v>
      </c>
      <c r="B677" s="114">
        <v>2</v>
      </c>
      <c r="C677" s="116">
        <v>0.0005352281502286346</v>
      </c>
      <c r="D677" s="114" t="s">
        <v>2559</v>
      </c>
      <c r="E677" s="114" t="b">
        <v>0</v>
      </c>
      <c r="F677" s="114" t="b">
        <v>0</v>
      </c>
      <c r="G677" s="114" t="b">
        <v>0</v>
      </c>
    </row>
    <row r="678" spans="1:7" ht="15">
      <c r="A678" s="114" t="s">
        <v>2407</v>
      </c>
      <c r="B678" s="114">
        <v>2</v>
      </c>
      <c r="C678" s="116">
        <v>0.0005352281502286346</v>
      </c>
      <c r="D678" s="114" t="s">
        <v>2559</v>
      </c>
      <c r="E678" s="114" t="b">
        <v>0</v>
      </c>
      <c r="F678" s="114" t="b">
        <v>0</v>
      </c>
      <c r="G678" s="114" t="b">
        <v>0</v>
      </c>
    </row>
    <row r="679" spans="1:7" ht="15">
      <c r="A679" s="114" t="s">
        <v>2408</v>
      </c>
      <c r="B679" s="114">
        <v>2</v>
      </c>
      <c r="C679" s="116">
        <v>0.0006112074525163633</v>
      </c>
      <c r="D679" s="114" t="s">
        <v>2559</v>
      </c>
      <c r="E679" s="114" t="b">
        <v>0</v>
      </c>
      <c r="F679" s="114" t="b">
        <v>0</v>
      </c>
      <c r="G679" s="114" t="b">
        <v>0</v>
      </c>
    </row>
    <row r="680" spans="1:7" ht="15">
      <c r="A680" s="114" t="s">
        <v>2409</v>
      </c>
      <c r="B680" s="114">
        <v>2</v>
      </c>
      <c r="C680" s="116">
        <v>0.0005352281502286346</v>
      </c>
      <c r="D680" s="114" t="s">
        <v>2559</v>
      </c>
      <c r="E680" s="114" t="b">
        <v>0</v>
      </c>
      <c r="F680" s="114" t="b">
        <v>0</v>
      </c>
      <c r="G680" s="114" t="b">
        <v>0</v>
      </c>
    </row>
    <row r="681" spans="1:7" ht="15">
      <c r="A681" s="114" t="s">
        <v>2410</v>
      </c>
      <c r="B681" s="114">
        <v>2</v>
      </c>
      <c r="C681" s="116">
        <v>0.0005352281502286346</v>
      </c>
      <c r="D681" s="114" t="s">
        <v>2559</v>
      </c>
      <c r="E681" s="114" t="b">
        <v>0</v>
      </c>
      <c r="F681" s="114" t="b">
        <v>0</v>
      </c>
      <c r="G681" s="114" t="b">
        <v>0</v>
      </c>
    </row>
    <row r="682" spans="1:7" ht="15">
      <c r="A682" s="114" t="s">
        <v>2411</v>
      </c>
      <c r="B682" s="114">
        <v>2</v>
      </c>
      <c r="C682" s="116">
        <v>0.0005352281502286346</v>
      </c>
      <c r="D682" s="114" t="s">
        <v>2559</v>
      </c>
      <c r="E682" s="114" t="b">
        <v>0</v>
      </c>
      <c r="F682" s="114" t="b">
        <v>0</v>
      </c>
      <c r="G682" s="114" t="b">
        <v>0</v>
      </c>
    </row>
    <row r="683" spans="1:7" ht="15">
      <c r="A683" s="114" t="s">
        <v>2412</v>
      </c>
      <c r="B683" s="114">
        <v>2</v>
      </c>
      <c r="C683" s="116">
        <v>0.0005352281502286346</v>
      </c>
      <c r="D683" s="114" t="s">
        <v>2559</v>
      </c>
      <c r="E683" s="114" t="b">
        <v>0</v>
      </c>
      <c r="F683" s="114" t="b">
        <v>0</v>
      </c>
      <c r="G683" s="114" t="b">
        <v>0</v>
      </c>
    </row>
    <row r="684" spans="1:7" ht="15">
      <c r="A684" s="114" t="s">
        <v>2413</v>
      </c>
      <c r="B684" s="114">
        <v>2</v>
      </c>
      <c r="C684" s="116">
        <v>0.0005352281502286346</v>
      </c>
      <c r="D684" s="114" t="s">
        <v>2559</v>
      </c>
      <c r="E684" s="114" t="b">
        <v>0</v>
      </c>
      <c r="F684" s="114" t="b">
        <v>0</v>
      </c>
      <c r="G684" s="114" t="b">
        <v>0</v>
      </c>
    </row>
    <row r="685" spans="1:7" ht="15">
      <c r="A685" s="114" t="s">
        <v>2414</v>
      </c>
      <c r="B685" s="114">
        <v>2</v>
      </c>
      <c r="C685" s="116">
        <v>0.0006112074525163633</v>
      </c>
      <c r="D685" s="114" t="s">
        <v>2559</v>
      </c>
      <c r="E685" s="114" t="b">
        <v>0</v>
      </c>
      <c r="F685" s="114" t="b">
        <v>0</v>
      </c>
      <c r="G685" s="114" t="b">
        <v>0</v>
      </c>
    </row>
    <row r="686" spans="1:7" ht="15">
      <c r="A686" s="114" t="s">
        <v>2415</v>
      </c>
      <c r="B686" s="114">
        <v>2</v>
      </c>
      <c r="C686" s="116">
        <v>0.0006112074525163633</v>
      </c>
      <c r="D686" s="114" t="s">
        <v>2559</v>
      </c>
      <c r="E686" s="114" t="b">
        <v>0</v>
      </c>
      <c r="F686" s="114" t="b">
        <v>0</v>
      </c>
      <c r="G686" s="114" t="b">
        <v>0</v>
      </c>
    </row>
    <row r="687" spans="1:7" ht="15">
      <c r="A687" s="114" t="s">
        <v>2416</v>
      </c>
      <c r="B687" s="114">
        <v>2</v>
      </c>
      <c r="C687" s="116">
        <v>0.0006112074525163633</v>
      </c>
      <c r="D687" s="114" t="s">
        <v>2559</v>
      </c>
      <c r="E687" s="114" t="b">
        <v>1</v>
      </c>
      <c r="F687" s="114" t="b">
        <v>0</v>
      </c>
      <c r="G687" s="114" t="b">
        <v>0</v>
      </c>
    </row>
    <row r="688" spans="1:7" ht="15">
      <c r="A688" s="114" t="s">
        <v>2417</v>
      </c>
      <c r="B688" s="114">
        <v>2</v>
      </c>
      <c r="C688" s="116">
        <v>0.0006112074525163633</v>
      </c>
      <c r="D688" s="114" t="s">
        <v>2559</v>
      </c>
      <c r="E688" s="114" t="b">
        <v>0</v>
      </c>
      <c r="F688" s="114" t="b">
        <v>0</v>
      </c>
      <c r="G688" s="114" t="b">
        <v>0</v>
      </c>
    </row>
    <row r="689" spans="1:7" ht="15">
      <c r="A689" s="114" t="s">
        <v>2418</v>
      </c>
      <c r="B689" s="114">
        <v>2</v>
      </c>
      <c r="C689" s="116">
        <v>0.0005352281502286346</v>
      </c>
      <c r="D689" s="114" t="s">
        <v>2559</v>
      </c>
      <c r="E689" s="114" t="b">
        <v>0</v>
      </c>
      <c r="F689" s="114" t="b">
        <v>0</v>
      </c>
      <c r="G689" s="114" t="b">
        <v>0</v>
      </c>
    </row>
    <row r="690" spans="1:7" ht="15">
      <c r="A690" s="114" t="s">
        <v>2419</v>
      </c>
      <c r="B690" s="114">
        <v>2</v>
      </c>
      <c r="C690" s="116">
        <v>0.0005352281502286346</v>
      </c>
      <c r="D690" s="114" t="s">
        <v>2559</v>
      </c>
      <c r="E690" s="114" t="b">
        <v>0</v>
      </c>
      <c r="F690" s="114" t="b">
        <v>0</v>
      </c>
      <c r="G690" s="114" t="b">
        <v>0</v>
      </c>
    </row>
    <row r="691" spans="1:7" ht="15">
      <c r="A691" s="114" t="s">
        <v>2420</v>
      </c>
      <c r="B691" s="114">
        <v>2</v>
      </c>
      <c r="C691" s="116">
        <v>0.0005352281502286346</v>
      </c>
      <c r="D691" s="114" t="s">
        <v>2559</v>
      </c>
      <c r="E691" s="114" t="b">
        <v>0</v>
      </c>
      <c r="F691" s="114" t="b">
        <v>0</v>
      </c>
      <c r="G691" s="114" t="b">
        <v>0</v>
      </c>
    </row>
    <row r="692" spans="1:7" ht="15">
      <c r="A692" s="114" t="s">
        <v>2421</v>
      </c>
      <c r="B692" s="114">
        <v>2</v>
      </c>
      <c r="C692" s="116">
        <v>0.0005352281502286346</v>
      </c>
      <c r="D692" s="114" t="s">
        <v>2559</v>
      </c>
      <c r="E692" s="114" t="b">
        <v>0</v>
      </c>
      <c r="F692" s="114" t="b">
        <v>0</v>
      </c>
      <c r="G692" s="114" t="b">
        <v>0</v>
      </c>
    </row>
    <row r="693" spans="1:7" ht="15">
      <c r="A693" s="114" t="s">
        <v>2422</v>
      </c>
      <c r="B693" s="114">
        <v>2</v>
      </c>
      <c r="C693" s="116">
        <v>0.0005352281502286346</v>
      </c>
      <c r="D693" s="114" t="s">
        <v>2559</v>
      </c>
      <c r="E693" s="114" t="b">
        <v>0</v>
      </c>
      <c r="F693" s="114" t="b">
        <v>0</v>
      </c>
      <c r="G693" s="114" t="b">
        <v>0</v>
      </c>
    </row>
    <row r="694" spans="1:7" ht="15">
      <c r="A694" s="114" t="s">
        <v>2423</v>
      </c>
      <c r="B694" s="114">
        <v>2</v>
      </c>
      <c r="C694" s="116">
        <v>0.0005352281502286346</v>
      </c>
      <c r="D694" s="114" t="s">
        <v>2559</v>
      </c>
      <c r="E694" s="114" t="b">
        <v>0</v>
      </c>
      <c r="F694" s="114" t="b">
        <v>0</v>
      </c>
      <c r="G694" s="114" t="b">
        <v>0</v>
      </c>
    </row>
    <row r="695" spans="1:7" ht="15">
      <c r="A695" s="114" t="s">
        <v>2424</v>
      </c>
      <c r="B695" s="114">
        <v>2</v>
      </c>
      <c r="C695" s="116">
        <v>0.0005352281502286346</v>
      </c>
      <c r="D695" s="114" t="s">
        <v>2559</v>
      </c>
      <c r="E695" s="114" t="b">
        <v>0</v>
      </c>
      <c r="F695" s="114" t="b">
        <v>0</v>
      </c>
      <c r="G695" s="114" t="b">
        <v>0</v>
      </c>
    </row>
    <row r="696" spans="1:7" ht="15">
      <c r="A696" s="114" t="s">
        <v>2425</v>
      </c>
      <c r="B696" s="114">
        <v>2</v>
      </c>
      <c r="C696" s="116">
        <v>0.0005352281502286346</v>
      </c>
      <c r="D696" s="114" t="s">
        <v>2559</v>
      </c>
      <c r="E696" s="114" t="b">
        <v>0</v>
      </c>
      <c r="F696" s="114" t="b">
        <v>0</v>
      </c>
      <c r="G696" s="114" t="b">
        <v>0</v>
      </c>
    </row>
    <row r="697" spans="1:7" ht="15">
      <c r="A697" s="114" t="s">
        <v>2426</v>
      </c>
      <c r="B697" s="114">
        <v>2</v>
      </c>
      <c r="C697" s="116">
        <v>0.0005352281502286346</v>
      </c>
      <c r="D697" s="114" t="s">
        <v>2559</v>
      </c>
      <c r="E697" s="114" t="b">
        <v>0</v>
      </c>
      <c r="F697" s="114" t="b">
        <v>0</v>
      </c>
      <c r="G697" s="114" t="b">
        <v>0</v>
      </c>
    </row>
    <row r="698" spans="1:7" ht="15">
      <c r="A698" s="114" t="s">
        <v>2427</v>
      </c>
      <c r="B698" s="114">
        <v>2</v>
      </c>
      <c r="C698" s="116">
        <v>0.0005352281502286346</v>
      </c>
      <c r="D698" s="114" t="s">
        <v>2559</v>
      </c>
      <c r="E698" s="114" t="b">
        <v>0</v>
      </c>
      <c r="F698" s="114" t="b">
        <v>0</v>
      </c>
      <c r="G698" s="114" t="b">
        <v>0</v>
      </c>
    </row>
    <row r="699" spans="1:7" ht="15">
      <c r="A699" s="114" t="s">
        <v>2428</v>
      </c>
      <c r="B699" s="114">
        <v>2</v>
      </c>
      <c r="C699" s="116">
        <v>0.0005352281502286346</v>
      </c>
      <c r="D699" s="114" t="s">
        <v>2559</v>
      </c>
      <c r="E699" s="114" t="b">
        <v>0</v>
      </c>
      <c r="F699" s="114" t="b">
        <v>0</v>
      </c>
      <c r="G699" s="114" t="b">
        <v>0</v>
      </c>
    </row>
    <row r="700" spans="1:7" ht="15">
      <c r="A700" s="114" t="s">
        <v>2429</v>
      </c>
      <c r="B700" s="114">
        <v>2</v>
      </c>
      <c r="C700" s="116">
        <v>0.0005352281502286346</v>
      </c>
      <c r="D700" s="114" t="s">
        <v>2559</v>
      </c>
      <c r="E700" s="114" t="b">
        <v>0</v>
      </c>
      <c r="F700" s="114" t="b">
        <v>0</v>
      </c>
      <c r="G700" s="114" t="b">
        <v>0</v>
      </c>
    </row>
    <row r="701" spans="1:7" ht="15">
      <c r="A701" s="114" t="s">
        <v>2430</v>
      </c>
      <c r="B701" s="114">
        <v>2</v>
      </c>
      <c r="C701" s="116">
        <v>0.0006112074525163633</v>
      </c>
      <c r="D701" s="114" t="s">
        <v>2559</v>
      </c>
      <c r="E701" s="114" t="b">
        <v>0</v>
      </c>
      <c r="F701" s="114" t="b">
        <v>0</v>
      </c>
      <c r="G701" s="114" t="b">
        <v>0</v>
      </c>
    </row>
    <row r="702" spans="1:7" ht="15">
      <c r="A702" s="114" t="s">
        <v>2431</v>
      </c>
      <c r="B702" s="114">
        <v>2</v>
      </c>
      <c r="C702" s="116">
        <v>0.0006112074525163633</v>
      </c>
      <c r="D702" s="114" t="s">
        <v>2559</v>
      </c>
      <c r="E702" s="114" t="b">
        <v>0</v>
      </c>
      <c r="F702" s="114" t="b">
        <v>0</v>
      </c>
      <c r="G702" s="114" t="b">
        <v>0</v>
      </c>
    </row>
    <row r="703" spans="1:7" ht="15">
      <c r="A703" s="114" t="s">
        <v>2432</v>
      </c>
      <c r="B703" s="114">
        <v>2</v>
      </c>
      <c r="C703" s="116">
        <v>0.0005352281502286346</v>
      </c>
      <c r="D703" s="114" t="s">
        <v>2559</v>
      </c>
      <c r="E703" s="114" t="b">
        <v>0</v>
      </c>
      <c r="F703" s="114" t="b">
        <v>0</v>
      </c>
      <c r="G703" s="114" t="b">
        <v>0</v>
      </c>
    </row>
    <row r="704" spans="1:7" ht="15">
      <c r="A704" s="114" t="s">
        <v>2433</v>
      </c>
      <c r="B704" s="114">
        <v>2</v>
      </c>
      <c r="C704" s="116">
        <v>0.0006112074525163633</v>
      </c>
      <c r="D704" s="114" t="s">
        <v>2559</v>
      </c>
      <c r="E704" s="114" t="b">
        <v>0</v>
      </c>
      <c r="F704" s="114" t="b">
        <v>0</v>
      </c>
      <c r="G704" s="114" t="b">
        <v>0</v>
      </c>
    </row>
    <row r="705" spans="1:7" ht="15">
      <c r="A705" s="114" t="s">
        <v>2434</v>
      </c>
      <c r="B705" s="114">
        <v>2</v>
      </c>
      <c r="C705" s="116">
        <v>0.0005352281502286346</v>
      </c>
      <c r="D705" s="114" t="s">
        <v>2559</v>
      </c>
      <c r="E705" s="114" t="b">
        <v>0</v>
      </c>
      <c r="F705" s="114" t="b">
        <v>0</v>
      </c>
      <c r="G705" s="114" t="b">
        <v>0</v>
      </c>
    </row>
    <row r="706" spans="1:7" ht="15">
      <c r="A706" s="114" t="s">
        <v>2435</v>
      </c>
      <c r="B706" s="114">
        <v>2</v>
      </c>
      <c r="C706" s="116">
        <v>0.0006112074525163633</v>
      </c>
      <c r="D706" s="114" t="s">
        <v>2559</v>
      </c>
      <c r="E706" s="114" t="b">
        <v>0</v>
      </c>
      <c r="F706" s="114" t="b">
        <v>0</v>
      </c>
      <c r="G706" s="114" t="b">
        <v>0</v>
      </c>
    </row>
    <row r="707" spans="1:7" ht="15">
      <c r="A707" s="114" t="s">
        <v>2436</v>
      </c>
      <c r="B707" s="114">
        <v>2</v>
      </c>
      <c r="C707" s="116">
        <v>0.0006112074525163633</v>
      </c>
      <c r="D707" s="114" t="s">
        <v>2559</v>
      </c>
      <c r="E707" s="114" t="b">
        <v>0</v>
      </c>
      <c r="F707" s="114" t="b">
        <v>0</v>
      </c>
      <c r="G707" s="114" t="b">
        <v>0</v>
      </c>
    </row>
    <row r="708" spans="1:7" ht="15">
      <c r="A708" s="114" t="s">
        <v>2437</v>
      </c>
      <c r="B708" s="114">
        <v>2</v>
      </c>
      <c r="C708" s="116">
        <v>0.0006112074525163633</v>
      </c>
      <c r="D708" s="114" t="s">
        <v>2559</v>
      </c>
      <c r="E708" s="114" t="b">
        <v>0</v>
      </c>
      <c r="F708" s="114" t="b">
        <v>0</v>
      </c>
      <c r="G708" s="114" t="b">
        <v>0</v>
      </c>
    </row>
    <row r="709" spans="1:7" ht="15">
      <c r="A709" s="114" t="s">
        <v>2438</v>
      </c>
      <c r="B709" s="114">
        <v>2</v>
      </c>
      <c r="C709" s="116">
        <v>0.0006112074525163633</v>
      </c>
      <c r="D709" s="114" t="s">
        <v>2559</v>
      </c>
      <c r="E709" s="114" t="b">
        <v>0</v>
      </c>
      <c r="F709" s="114" t="b">
        <v>0</v>
      </c>
      <c r="G709" s="114" t="b">
        <v>0</v>
      </c>
    </row>
    <row r="710" spans="1:7" ht="15">
      <c r="A710" s="114" t="s">
        <v>2439</v>
      </c>
      <c r="B710" s="114">
        <v>2</v>
      </c>
      <c r="C710" s="116">
        <v>0.0005352281502286346</v>
      </c>
      <c r="D710" s="114" t="s">
        <v>2559</v>
      </c>
      <c r="E710" s="114" t="b">
        <v>0</v>
      </c>
      <c r="F710" s="114" t="b">
        <v>0</v>
      </c>
      <c r="G710" s="114" t="b">
        <v>0</v>
      </c>
    </row>
    <row r="711" spans="1:7" ht="15">
      <c r="A711" s="114" t="s">
        <v>2440</v>
      </c>
      <c r="B711" s="114">
        <v>2</v>
      </c>
      <c r="C711" s="116">
        <v>0.0005352281502286346</v>
      </c>
      <c r="D711" s="114" t="s">
        <v>2559</v>
      </c>
      <c r="E711" s="114" t="b">
        <v>1</v>
      </c>
      <c r="F711" s="114" t="b">
        <v>0</v>
      </c>
      <c r="G711" s="114" t="b">
        <v>0</v>
      </c>
    </row>
    <row r="712" spans="1:7" ht="15">
      <c r="A712" s="114" t="s">
        <v>2441</v>
      </c>
      <c r="B712" s="114">
        <v>2</v>
      </c>
      <c r="C712" s="116">
        <v>0.0006112074525163633</v>
      </c>
      <c r="D712" s="114" t="s">
        <v>2559</v>
      </c>
      <c r="E712" s="114" t="b">
        <v>0</v>
      </c>
      <c r="F712" s="114" t="b">
        <v>0</v>
      </c>
      <c r="G712" s="114" t="b">
        <v>0</v>
      </c>
    </row>
    <row r="713" spans="1:7" ht="15">
      <c r="A713" s="114" t="s">
        <v>2442</v>
      </c>
      <c r="B713" s="114">
        <v>2</v>
      </c>
      <c r="C713" s="116">
        <v>0.0006112074525163633</v>
      </c>
      <c r="D713" s="114" t="s">
        <v>2559</v>
      </c>
      <c r="E713" s="114" t="b">
        <v>0</v>
      </c>
      <c r="F713" s="114" t="b">
        <v>0</v>
      </c>
      <c r="G713" s="114" t="b">
        <v>0</v>
      </c>
    </row>
    <row r="714" spans="1:7" ht="15">
      <c r="A714" s="114" t="s">
        <v>2443</v>
      </c>
      <c r="B714" s="114">
        <v>2</v>
      </c>
      <c r="C714" s="116">
        <v>0.0006112074525163633</v>
      </c>
      <c r="D714" s="114" t="s">
        <v>2559</v>
      </c>
      <c r="E714" s="114" t="b">
        <v>0</v>
      </c>
      <c r="F714" s="114" t="b">
        <v>0</v>
      </c>
      <c r="G714" s="114" t="b">
        <v>0</v>
      </c>
    </row>
    <row r="715" spans="1:7" ht="15">
      <c r="A715" s="114" t="s">
        <v>2444</v>
      </c>
      <c r="B715" s="114">
        <v>2</v>
      </c>
      <c r="C715" s="116">
        <v>0.0005352281502286346</v>
      </c>
      <c r="D715" s="114" t="s">
        <v>2559</v>
      </c>
      <c r="E715" s="114" t="b">
        <v>0</v>
      </c>
      <c r="F715" s="114" t="b">
        <v>0</v>
      </c>
      <c r="G715" s="114" t="b">
        <v>0</v>
      </c>
    </row>
    <row r="716" spans="1:7" ht="15">
      <c r="A716" s="114" t="s">
        <v>2445</v>
      </c>
      <c r="B716" s="114">
        <v>2</v>
      </c>
      <c r="C716" s="116">
        <v>0.0006112074525163633</v>
      </c>
      <c r="D716" s="114" t="s">
        <v>2559</v>
      </c>
      <c r="E716" s="114" t="b">
        <v>1</v>
      </c>
      <c r="F716" s="114" t="b">
        <v>0</v>
      </c>
      <c r="G716" s="114" t="b">
        <v>0</v>
      </c>
    </row>
    <row r="717" spans="1:7" ht="15">
      <c r="A717" s="114" t="s">
        <v>2446</v>
      </c>
      <c r="B717" s="114">
        <v>2</v>
      </c>
      <c r="C717" s="116">
        <v>0.0006112074525163633</v>
      </c>
      <c r="D717" s="114" t="s">
        <v>2559</v>
      </c>
      <c r="E717" s="114" t="b">
        <v>0</v>
      </c>
      <c r="F717" s="114" t="b">
        <v>0</v>
      </c>
      <c r="G717" s="114" t="b">
        <v>0</v>
      </c>
    </row>
    <row r="718" spans="1:7" ht="15">
      <c r="A718" s="114" t="s">
        <v>2447</v>
      </c>
      <c r="B718" s="114">
        <v>2</v>
      </c>
      <c r="C718" s="116">
        <v>0.0006112074525163633</v>
      </c>
      <c r="D718" s="114" t="s">
        <v>2559</v>
      </c>
      <c r="E718" s="114" t="b">
        <v>0</v>
      </c>
      <c r="F718" s="114" t="b">
        <v>0</v>
      </c>
      <c r="G718" s="114" t="b">
        <v>0</v>
      </c>
    </row>
    <row r="719" spans="1:7" ht="15">
      <c r="A719" s="114" t="s">
        <v>2448</v>
      </c>
      <c r="B719" s="114">
        <v>2</v>
      </c>
      <c r="C719" s="116">
        <v>0.0005352281502286346</v>
      </c>
      <c r="D719" s="114" t="s">
        <v>2559</v>
      </c>
      <c r="E719" s="114" t="b">
        <v>0</v>
      </c>
      <c r="F719" s="114" t="b">
        <v>0</v>
      </c>
      <c r="G719" s="114" t="b">
        <v>0</v>
      </c>
    </row>
    <row r="720" spans="1:7" ht="15">
      <c r="A720" s="114" t="s">
        <v>2449</v>
      </c>
      <c r="B720" s="114">
        <v>2</v>
      </c>
      <c r="C720" s="116">
        <v>0.0005352281502286346</v>
      </c>
      <c r="D720" s="114" t="s">
        <v>2559</v>
      </c>
      <c r="E720" s="114" t="b">
        <v>0</v>
      </c>
      <c r="F720" s="114" t="b">
        <v>0</v>
      </c>
      <c r="G720" s="114" t="b">
        <v>0</v>
      </c>
    </row>
    <row r="721" spans="1:7" ht="15">
      <c r="A721" s="114" t="s">
        <v>2450</v>
      </c>
      <c r="B721" s="114">
        <v>2</v>
      </c>
      <c r="C721" s="116">
        <v>0.0005352281502286346</v>
      </c>
      <c r="D721" s="114" t="s">
        <v>2559</v>
      </c>
      <c r="E721" s="114" t="b">
        <v>0</v>
      </c>
      <c r="F721" s="114" t="b">
        <v>0</v>
      </c>
      <c r="G721" s="114" t="b">
        <v>0</v>
      </c>
    </row>
    <row r="722" spans="1:7" ht="15">
      <c r="A722" s="114" t="s">
        <v>2451</v>
      </c>
      <c r="B722" s="114">
        <v>2</v>
      </c>
      <c r="C722" s="116">
        <v>0.0006112074525163633</v>
      </c>
      <c r="D722" s="114" t="s">
        <v>2559</v>
      </c>
      <c r="E722" s="114" t="b">
        <v>0</v>
      </c>
      <c r="F722" s="114" t="b">
        <v>0</v>
      </c>
      <c r="G722" s="114" t="b">
        <v>0</v>
      </c>
    </row>
    <row r="723" spans="1:7" ht="15">
      <c r="A723" s="114" t="s">
        <v>2452</v>
      </c>
      <c r="B723" s="114">
        <v>2</v>
      </c>
      <c r="C723" s="116">
        <v>0.0005352281502286346</v>
      </c>
      <c r="D723" s="114" t="s">
        <v>2559</v>
      </c>
      <c r="E723" s="114" t="b">
        <v>0</v>
      </c>
      <c r="F723" s="114" t="b">
        <v>0</v>
      </c>
      <c r="G723" s="114" t="b">
        <v>0</v>
      </c>
    </row>
    <row r="724" spans="1:7" ht="15">
      <c r="A724" s="114" t="s">
        <v>2453</v>
      </c>
      <c r="B724" s="114">
        <v>2</v>
      </c>
      <c r="C724" s="116">
        <v>0.0006112074525163633</v>
      </c>
      <c r="D724" s="114" t="s">
        <v>2559</v>
      </c>
      <c r="E724" s="114" t="b">
        <v>0</v>
      </c>
      <c r="F724" s="114" t="b">
        <v>0</v>
      </c>
      <c r="G724" s="114" t="b">
        <v>0</v>
      </c>
    </row>
    <row r="725" spans="1:7" ht="15">
      <c r="A725" s="114" t="s">
        <v>2454</v>
      </c>
      <c r="B725" s="114">
        <v>2</v>
      </c>
      <c r="C725" s="116">
        <v>0.0006112074525163633</v>
      </c>
      <c r="D725" s="114" t="s">
        <v>2559</v>
      </c>
      <c r="E725" s="114" t="b">
        <v>1</v>
      </c>
      <c r="F725" s="114" t="b">
        <v>0</v>
      </c>
      <c r="G725" s="114" t="b">
        <v>0</v>
      </c>
    </row>
    <row r="726" spans="1:7" ht="15">
      <c r="A726" s="114" t="s">
        <v>2455</v>
      </c>
      <c r="B726" s="114">
        <v>2</v>
      </c>
      <c r="C726" s="116">
        <v>0.0005352281502286346</v>
      </c>
      <c r="D726" s="114" t="s">
        <v>2559</v>
      </c>
      <c r="E726" s="114" t="b">
        <v>0</v>
      </c>
      <c r="F726" s="114" t="b">
        <v>0</v>
      </c>
      <c r="G726" s="114" t="b">
        <v>0</v>
      </c>
    </row>
    <row r="727" spans="1:7" ht="15">
      <c r="A727" s="114" t="s">
        <v>2456</v>
      </c>
      <c r="B727" s="114">
        <v>2</v>
      </c>
      <c r="C727" s="116">
        <v>0.0006112074525163633</v>
      </c>
      <c r="D727" s="114" t="s">
        <v>2559</v>
      </c>
      <c r="E727" s="114" t="b">
        <v>0</v>
      </c>
      <c r="F727" s="114" t="b">
        <v>1</v>
      </c>
      <c r="G727" s="114" t="b">
        <v>0</v>
      </c>
    </row>
    <row r="728" spans="1:7" ht="15">
      <c r="A728" s="114" t="s">
        <v>2457</v>
      </c>
      <c r="B728" s="114">
        <v>2</v>
      </c>
      <c r="C728" s="116">
        <v>0.0005352281502286346</v>
      </c>
      <c r="D728" s="114" t="s">
        <v>2559</v>
      </c>
      <c r="E728" s="114" t="b">
        <v>0</v>
      </c>
      <c r="F728" s="114" t="b">
        <v>0</v>
      </c>
      <c r="G728" s="114" t="b">
        <v>0</v>
      </c>
    </row>
    <row r="729" spans="1:7" ht="15">
      <c r="A729" s="114" t="s">
        <v>2458</v>
      </c>
      <c r="B729" s="114">
        <v>2</v>
      </c>
      <c r="C729" s="116">
        <v>0.0006112074525163633</v>
      </c>
      <c r="D729" s="114" t="s">
        <v>2559</v>
      </c>
      <c r="E729" s="114" t="b">
        <v>0</v>
      </c>
      <c r="F729" s="114" t="b">
        <v>0</v>
      </c>
      <c r="G729" s="114" t="b">
        <v>0</v>
      </c>
    </row>
    <row r="730" spans="1:7" ht="15">
      <c r="A730" s="114" t="s">
        <v>2459</v>
      </c>
      <c r="B730" s="114">
        <v>2</v>
      </c>
      <c r="C730" s="116">
        <v>0.0006112074525163633</v>
      </c>
      <c r="D730" s="114" t="s">
        <v>2559</v>
      </c>
      <c r="E730" s="114" t="b">
        <v>0</v>
      </c>
      <c r="F730" s="114" t="b">
        <v>0</v>
      </c>
      <c r="G730" s="114" t="b">
        <v>0</v>
      </c>
    </row>
    <row r="731" spans="1:7" ht="15">
      <c r="A731" s="114" t="s">
        <v>2460</v>
      </c>
      <c r="B731" s="114">
        <v>2</v>
      </c>
      <c r="C731" s="116">
        <v>0.0005352281502286346</v>
      </c>
      <c r="D731" s="114" t="s">
        <v>2559</v>
      </c>
      <c r="E731" s="114" t="b">
        <v>0</v>
      </c>
      <c r="F731" s="114" t="b">
        <v>0</v>
      </c>
      <c r="G731" s="114" t="b">
        <v>0</v>
      </c>
    </row>
    <row r="732" spans="1:7" ht="15">
      <c r="A732" s="114" t="s">
        <v>2461</v>
      </c>
      <c r="B732" s="114">
        <v>2</v>
      </c>
      <c r="C732" s="116">
        <v>0.0006112074525163633</v>
      </c>
      <c r="D732" s="114" t="s">
        <v>2559</v>
      </c>
      <c r="E732" s="114" t="b">
        <v>0</v>
      </c>
      <c r="F732" s="114" t="b">
        <v>1</v>
      </c>
      <c r="G732" s="114" t="b">
        <v>0</v>
      </c>
    </row>
    <row r="733" spans="1:7" ht="15">
      <c r="A733" s="114" t="s">
        <v>2462</v>
      </c>
      <c r="B733" s="114">
        <v>2</v>
      </c>
      <c r="C733" s="116">
        <v>0.0006112074525163633</v>
      </c>
      <c r="D733" s="114" t="s">
        <v>2559</v>
      </c>
      <c r="E733" s="114" t="b">
        <v>1</v>
      </c>
      <c r="F733" s="114" t="b">
        <v>0</v>
      </c>
      <c r="G733" s="114" t="b">
        <v>0</v>
      </c>
    </row>
    <row r="734" spans="1:7" ht="15">
      <c r="A734" s="114" t="s">
        <v>2463</v>
      </c>
      <c r="B734" s="114">
        <v>2</v>
      </c>
      <c r="C734" s="116">
        <v>0.0006112074525163633</v>
      </c>
      <c r="D734" s="114" t="s">
        <v>2559</v>
      </c>
      <c r="E734" s="114" t="b">
        <v>0</v>
      </c>
      <c r="F734" s="114" t="b">
        <v>0</v>
      </c>
      <c r="G734" s="114" t="b">
        <v>0</v>
      </c>
    </row>
    <row r="735" spans="1:7" ht="15">
      <c r="A735" s="114" t="s">
        <v>2464</v>
      </c>
      <c r="B735" s="114">
        <v>2</v>
      </c>
      <c r="C735" s="116">
        <v>0.0006112074525163633</v>
      </c>
      <c r="D735" s="114" t="s">
        <v>2559</v>
      </c>
      <c r="E735" s="114" t="b">
        <v>0</v>
      </c>
      <c r="F735" s="114" t="b">
        <v>0</v>
      </c>
      <c r="G735" s="114" t="b">
        <v>0</v>
      </c>
    </row>
    <row r="736" spans="1:7" ht="15">
      <c r="A736" s="114" t="s">
        <v>2465</v>
      </c>
      <c r="B736" s="114">
        <v>2</v>
      </c>
      <c r="C736" s="116">
        <v>0.0006112074525163633</v>
      </c>
      <c r="D736" s="114" t="s">
        <v>2559</v>
      </c>
      <c r="E736" s="114" t="b">
        <v>0</v>
      </c>
      <c r="F736" s="114" t="b">
        <v>0</v>
      </c>
      <c r="G736" s="114" t="b">
        <v>0</v>
      </c>
    </row>
    <row r="737" spans="1:7" ht="15">
      <c r="A737" s="114" t="s">
        <v>2466</v>
      </c>
      <c r="B737" s="114">
        <v>2</v>
      </c>
      <c r="C737" s="116">
        <v>0.0006112074525163633</v>
      </c>
      <c r="D737" s="114" t="s">
        <v>2559</v>
      </c>
      <c r="E737" s="114" t="b">
        <v>0</v>
      </c>
      <c r="F737" s="114" t="b">
        <v>0</v>
      </c>
      <c r="G737" s="114" t="b">
        <v>0</v>
      </c>
    </row>
    <row r="738" spans="1:7" ht="15">
      <c r="A738" s="114" t="s">
        <v>2467</v>
      </c>
      <c r="B738" s="114">
        <v>2</v>
      </c>
      <c r="C738" s="116">
        <v>0.0005352281502286346</v>
      </c>
      <c r="D738" s="114" t="s">
        <v>2559</v>
      </c>
      <c r="E738" s="114" t="b">
        <v>0</v>
      </c>
      <c r="F738" s="114" t="b">
        <v>0</v>
      </c>
      <c r="G738" s="114" t="b">
        <v>0</v>
      </c>
    </row>
    <row r="739" spans="1:7" ht="15">
      <c r="A739" s="114" t="s">
        <v>2468</v>
      </c>
      <c r="B739" s="114">
        <v>2</v>
      </c>
      <c r="C739" s="116">
        <v>0.0006112074525163633</v>
      </c>
      <c r="D739" s="114" t="s">
        <v>2559</v>
      </c>
      <c r="E739" s="114" t="b">
        <v>0</v>
      </c>
      <c r="F739" s="114" t="b">
        <v>0</v>
      </c>
      <c r="G739" s="114" t="b">
        <v>0</v>
      </c>
    </row>
    <row r="740" spans="1:7" ht="15">
      <c r="A740" s="114" t="s">
        <v>2469</v>
      </c>
      <c r="B740" s="114">
        <v>2</v>
      </c>
      <c r="C740" s="116">
        <v>0.0006112074525163633</v>
      </c>
      <c r="D740" s="114" t="s">
        <v>2559</v>
      </c>
      <c r="E740" s="114" t="b">
        <v>0</v>
      </c>
      <c r="F740" s="114" t="b">
        <v>0</v>
      </c>
      <c r="G740" s="114" t="b">
        <v>0</v>
      </c>
    </row>
    <row r="741" spans="1:7" ht="15">
      <c r="A741" s="114" t="s">
        <v>2470</v>
      </c>
      <c r="B741" s="114">
        <v>2</v>
      </c>
      <c r="C741" s="116">
        <v>0.0006112074525163633</v>
      </c>
      <c r="D741" s="114" t="s">
        <v>2559</v>
      </c>
      <c r="E741" s="114" t="b">
        <v>0</v>
      </c>
      <c r="F741" s="114" t="b">
        <v>0</v>
      </c>
      <c r="G741" s="114" t="b">
        <v>0</v>
      </c>
    </row>
    <row r="742" spans="1:7" ht="15">
      <c r="A742" s="114" t="s">
        <v>2471</v>
      </c>
      <c r="B742" s="114">
        <v>2</v>
      </c>
      <c r="C742" s="116">
        <v>0.0005352281502286346</v>
      </c>
      <c r="D742" s="114" t="s">
        <v>2559</v>
      </c>
      <c r="E742" s="114" t="b">
        <v>0</v>
      </c>
      <c r="F742" s="114" t="b">
        <v>0</v>
      </c>
      <c r="G742" s="114" t="b">
        <v>0</v>
      </c>
    </row>
    <row r="743" spans="1:7" ht="15">
      <c r="A743" s="114" t="s">
        <v>2472</v>
      </c>
      <c r="B743" s="114">
        <v>2</v>
      </c>
      <c r="C743" s="116">
        <v>0.0006112074525163633</v>
      </c>
      <c r="D743" s="114" t="s">
        <v>2559</v>
      </c>
      <c r="E743" s="114" t="b">
        <v>0</v>
      </c>
      <c r="F743" s="114" t="b">
        <v>0</v>
      </c>
      <c r="G743" s="114" t="b">
        <v>0</v>
      </c>
    </row>
    <row r="744" spans="1:7" ht="15">
      <c r="A744" s="114" t="s">
        <v>2473</v>
      </c>
      <c r="B744" s="114">
        <v>2</v>
      </c>
      <c r="C744" s="116">
        <v>0.0006112074525163633</v>
      </c>
      <c r="D744" s="114" t="s">
        <v>2559</v>
      </c>
      <c r="E744" s="114" t="b">
        <v>0</v>
      </c>
      <c r="F744" s="114" t="b">
        <v>0</v>
      </c>
      <c r="G744" s="114" t="b">
        <v>0</v>
      </c>
    </row>
    <row r="745" spans="1:7" ht="15">
      <c r="A745" s="114" t="s">
        <v>2474</v>
      </c>
      <c r="B745" s="114">
        <v>2</v>
      </c>
      <c r="C745" s="116">
        <v>0.0006112074525163633</v>
      </c>
      <c r="D745" s="114" t="s">
        <v>2559</v>
      </c>
      <c r="E745" s="114" t="b">
        <v>0</v>
      </c>
      <c r="F745" s="114" t="b">
        <v>0</v>
      </c>
      <c r="G745" s="114" t="b">
        <v>0</v>
      </c>
    </row>
    <row r="746" spans="1:7" ht="15">
      <c r="A746" s="114" t="s">
        <v>2475</v>
      </c>
      <c r="B746" s="114">
        <v>2</v>
      </c>
      <c r="C746" s="116">
        <v>0.0006112074525163633</v>
      </c>
      <c r="D746" s="114" t="s">
        <v>2559</v>
      </c>
      <c r="E746" s="114" t="b">
        <v>0</v>
      </c>
      <c r="F746" s="114" t="b">
        <v>0</v>
      </c>
      <c r="G746" s="114" t="b">
        <v>0</v>
      </c>
    </row>
    <row r="747" spans="1:7" ht="15">
      <c r="A747" s="114" t="s">
        <v>2476</v>
      </c>
      <c r="B747" s="114">
        <v>2</v>
      </c>
      <c r="C747" s="116">
        <v>0.0006112074525163633</v>
      </c>
      <c r="D747" s="114" t="s">
        <v>2559</v>
      </c>
      <c r="E747" s="114" t="b">
        <v>0</v>
      </c>
      <c r="F747" s="114" t="b">
        <v>0</v>
      </c>
      <c r="G747" s="114" t="b">
        <v>0</v>
      </c>
    </row>
    <row r="748" spans="1:7" ht="15">
      <c r="A748" s="114" t="s">
        <v>2477</v>
      </c>
      <c r="B748" s="114">
        <v>2</v>
      </c>
      <c r="C748" s="116">
        <v>0.0006112074525163633</v>
      </c>
      <c r="D748" s="114" t="s">
        <v>2559</v>
      </c>
      <c r="E748" s="114" t="b">
        <v>0</v>
      </c>
      <c r="F748" s="114" t="b">
        <v>0</v>
      </c>
      <c r="G748" s="114" t="b">
        <v>0</v>
      </c>
    </row>
    <row r="749" spans="1:7" ht="15">
      <c r="A749" s="114" t="s">
        <v>2478</v>
      </c>
      <c r="B749" s="114">
        <v>2</v>
      </c>
      <c r="C749" s="116">
        <v>0.0005352281502286346</v>
      </c>
      <c r="D749" s="114" t="s">
        <v>2559</v>
      </c>
      <c r="E749" s="114" t="b">
        <v>0</v>
      </c>
      <c r="F749" s="114" t="b">
        <v>0</v>
      </c>
      <c r="G749" s="114" t="b">
        <v>0</v>
      </c>
    </row>
    <row r="750" spans="1:7" ht="15">
      <c r="A750" s="114" t="s">
        <v>2479</v>
      </c>
      <c r="B750" s="114">
        <v>2</v>
      </c>
      <c r="C750" s="116">
        <v>0.0006112074525163633</v>
      </c>
      <c r="D750" s="114" t="s">
        <v>2559</v>
      </c>
      <c r="E750" s="114" t="b">
        <v>0</v>
      </c>
      <c r="F750" s="114" t="b">
        <v>0</v>
      </c>
      <c r="G750" s="114" t="b">
        <v>0</v>
      </c>
    </row>
    <row r="751" spans="1:7" ht="15">
      <c r="A751" s="114" t="s">
        <v>2480</v>
      </c>
      <c r="B751" s="114">
        <v>2</v>
      </c>
      <c r="C751" s="116">
        <v>0.0005352281502286346</v>
      </c>
      <c r="D751" s="114" t="s">
        <v>2559</v>
      </c>
      <c r="E751" s="114" t="b">
        <v>0</v>
      </c>
      <c r="F751" s="114" t="b">
        <v>1</v>
      </c>
      <c r="G751" s="114" t="b">
        <v>0</v>
      </c>
    </row>
    <row r="752" spans="1:7" ht="15">
      <c r="A752" s="114" t="s">
        <v>2481</v>
      </c>
      <c r="B752" s="114">
        <v>2</v>
      </c>
      <c r="C752" s="116">
        <v>0.0005352281502286346</v>
      </c>
      <c r="D752" s="114" t="s">
        <v>2559</v>
      </c>
      <c r="E752" s="114" t="b">
        <v>1</v>
      </c>
      <c r="F752" s="114" t="b">
        <v>0</v>
      </c>
      <c r="G752" s="114" t="b">
        <v>0</v>
      </c>
    </row>
    <row r="753" spans="1:7" ht="15">
      <c r="A753" s="114" t="s">
        <v>2482</v>
      </c>
      <c r="B753" s="114">
        <v>2</v>
      </c>
      <c r="C753" s="116">
        <v>0.0006112074525163633</v>
      </c>
      <c r="D753" s="114" t="s">
        <v>2559</v>
      </c>
      <c r="E753" s="114" t="b">
        <v>0</v>
      </c>
      <c r="F753" s="114" t="b">
        <v>0</v>
      </c>
      <c r="G753" s="114" t="b">
        <v>0</v>
      </c>
    </row>
    <row r="754" spans="1:7" ht="15">
      <c r="A754" s="114" t="s">
        <v>2483</v>
      </c>
      <c r="B754" s="114">
        <v>2</v>
      </c>
      <c r="C754" s="116">
        <v>0.0006112074525163633</v>
      </c>
      <c r="D754" s="114" t="s">
        <v>2559</v>
      </c>
      <c r="E754" s="114" t="b">
        <v>0</v>
      </c>
      <c r="F754" s="114" t="b">
        <v>0</v>
      </c>
      <c r="G754" s="114" t="b">
        <v>0</v>
      </c>
    </row>
    <row r="755" spans="1:7" ht="15">
      <c r="A755" s="114" t="s">
        <v>2484</v>
      </c>
      <c r="B755" s="114">
        <v>2</v>
      </c>
      <c r="C755" s="116">
        <v>0.0006112074525163633</v>
      </c>
      <c r="D755" s="114" t="s">
        <v>2559</v>
      </c>
      <c r="E755" s="114" t="b">
        <v>0</v>
      </c>
      <c r="F755" s="114" t="b">
        <v>0</v>
      </c>
      <c r="G755" s="114" t="b">
        <v>0</v>
      </c>
    </row>
    <row r="756" spans="1:7" ht="15">
      <c r="A756" s="114" t="s">
        <v>2485</v>
      </c>
      <c r="B756" s="114">
        <v>2</v>
      </c>
      <c r="C756" s="116">
        <v>0.0006112074525163633</v>
      </c>
      <c r="D756" s="114" t="s">
        <v>2559</v>
      </c>
      <c r="E756" s="114" t="b">
        <v>0</v>
      </c>
      <c r="F756" s="114" t="b">
        <v>1</v>
      </c>
      <c r="G756" s="114" t="b">
        <v>0</v>
      </c>
    </row>
    <row r="757" spans="1:7" ht="15">
      <c r="A757" s="114" t="s">
        <v>2486</v>
      </c>
      <c r="B757" s="114">
        <v>2</v>
      </c>
      <c r="C757" s="116">
        <v>0.0005352281502286346</v>
      </c>
      <c r="D757" s="114" t="s">
        <v>2559</v>
      </c>
      <c r="E757" s="114" t="b">
        <v>0</v>
      </c>
      <c r="F757" s="114" t="b">
        <v>0</v>
      </c>
      <c r="G757" s="114" t="b">
        <v>0</v>
      </c>
    </row>
    <row r="758" spans="1:7" ht="15">
      <c r="A758" s="114" t="s">
        <v>2487</v>
      </c>
      <c r="B758" s="114">
        <v>2</v>
      </c>
      <c r="C758" s="116">
        <v>0.0006112074525163633</v>
      </c>
      <c r="D758" s="114" t="s">
        <v>2559</v>
      </c>
      <c r="E758" s="114" t="b">
        <v>0</v>
      </c>
      <c r="F758" s="114" t="b">
        <v>0</v>
      </c>
      <c r="G758" s="114" t="b">
        <v>0</v>
      </c>
    </row>
    <row r="759" spans="1:7" ht="15">
      <c r="A759" s="114" t="s">
        <v>2488</v>
      </c>
      <c r="B759" s="114">
        <v>2</v>
      </c>
      <c r="C759" s="116">
        <v>0.0006112074525163633</v>
      </c>
      <c r="D759" s="114" t="s">
        <v>2559</v>
      </c>
      <c r="E759" s="114" t="b">
        <v>0</v>
      </c>
      <c r="F759" s="114" t="b">
        <v>0</v>
      </c>
      <c r="G759" s="114" t="b">
        <v>0</v>
      </c>
    </row>
    <row r="760" spans="1:7" ht="15">
      <c r="A760" s="114" t="s">
        <v>2489</v>
      </c>
      <c r="B760" s="114">
        <v>2</v>
      </c>
      <c r="C760" s="116">
        <v>0.0006112074525163633</v>
      </c>
      <c r="D760" s="114" t="s">
        <v>2559</v>
      </c>
      <c r="E760" s="114" t="b">
        <v>0</v>
      </c>
      <c r="F760" s="114" t="b">
        <v>0</v>
      </c>
      <c r="G760" s="114" t="b">
        <v>0</v>
      </c>
    </row>
    <row r="761" spans="1:7" ht="15">
      <c r="A761" s="114" t="s">
        <v>2490</v>
      </c>
      <c r="B761" s="114">
        <v>2</v>
      </c>
      <c r="C761" s="116">
        <v>0.0006112074525163633</v>
      </c>
      <c r="D761" s="114" t="s">
        <v>2559</v>
      </c>
      <c r="E761" s="114" t="b">
        <v>0</v>
      </c>
      <c r="F761" s="114" t="b">
        <v>0</v>
      </c>
      <c r="G761" s="114" t="b">
        <v>0</v>
      </c>
    </row>
    <row r="762" spans="1:7" ht="15">
      <c r="A762" s="114" t="s">
        <v>2491</v>
      </c>
      <c r="B762" s="114">
        <v>2</v>
      </c>
      <c r="C762" s="116">
        <v>0.0006112074525163633</v>
      </c>
      <c r="D762" s="114" t="s">
        <v>2559</v>
      </c>
      <c r="E762" s="114" t="b">
        <v>0</v>
      </c>
      <c r="F762" s="114" t="b">
        <v>0</v>
      </c>
      <c r="G762" s="114" t="b">
        <v>0</v>
      </c>
    </row>
    <row r="763" spans="1:7" ht="15">
      <c r="A763" s="114" t="s">
        <v>2492</v>
      </c>
      <c r="B763" s="114">
        <v>2</v>
      </c>
      <c r="C763" s="116">
        <v>0.0006112074525163633</v>
      </c>
      <c r="D763" s="114" t="s">
        <v>2559</v>
      </c>
      <c r="E763" s="114" t="b">
        <v>0</v>
      </c>
      <c r="F763" s="114" t="b">
        <v>0</v>
      </c>
      <c r="G763" s="114" t="b">
        <v>0</v>
      </c>
    </row>
    <row r="764" spans="1:7" ht="15">
      <c r="A764" s="114" t="s">
        <v>2493</v>
      </c>
      <c r="B764" s="114">
        <v>2</v>
      </c>
      <c r="C764" s="116">
        <v>0.0006112074525163633</v>
      </c>
      <c r="D764" s="114" t="s">
        <v>2559</v>
      </c>
      <c r="E764" s="114" t="b">
        <v>0</v>
      </c>
      <c r="F764" s="114" t="b">
        <v>0</v>
      </c>
      <c r="G764" s="114" t="b">
        <v>0</v>
      </c>
    </row>
    <row r="765" spans="1:7" ht="15">
      <c r="A765" s="114" t="s">
        <v>2494</v>
      </c>
      <c r="B765" s="114">
        <v>2</v>
      </c>
      <c r="C765" s="116">
        <v>0.0006112074525163633</v>
      </c>
      <c r="D765" s="114" t="s">
        <v>2559</v>
      </c>
      <c r="E765" s="114" t="b">
        <v>0</v>
      </c>
      <c r="F765" s="114" t="b">
        <v>0</v>
      </c>
      <c r="G765" s="114" t="b">
        <v>0</v>
      </c>
    </row>
    <row r="766" spans="1:7" ht="15">
      <c r="A766" s="114" t="s">
        <v>2495</v>
      </c>
      <c r="B766" s="114">
        <v>2</v>
      </c>
      <c r="C766" s="116">
        <v>0.0006112074525163633</v>
      </c>
      <c r="D766" s="114" t="s">
        <v>2559</v>
      </c>
      <c r="E766" s="114" t="b">
        <v>0</v>
      </c>
      <c r="F766" s="114" t="b">
        <v>0</v>
      </c>
      <c r="G766" s="114" t="b">
        <v>0</v>
      </c>
    </row>
    <row r="767" spans="1:7" ht="15">
      <c r="A767" s="114" t="s">
        <v>2496</v>
      </c>
      <c r="B767" s="114">
        <v>2</v>
      </c>
      <c r="C767" s="116">
        <v>0.0006112074525163633</v>
      </c>
      <c r="D767" s="114" t="s">
        <v>2559</v>
      </c>
      <c r="E767" s="114" t="b">
        <v>0</v>
      </c>
      <c r="F767" s="114" t="b">
        <v>0</v>
      </c>
      <c r="G767" s="114" t="b">
        <v>0</v>
      </c>
    </row>
    <row r="768" spans="1:7" ht="15">
      <c r="A768" s="114" t="s">
        <v>2497</v>
      </c>
      <c r="B768" s="114">
        <v>2</v>
      </c>
      <c r="C768" s="116">
        <v>0.0005352281502286346</v>
      </c>
      <c r="D768" s="114" t="s">
        <v>2559</v>
      </c>
      <c r="E768" s="114" t="b">
        <v>0</v>
      </c>
      <c r="F768" s="114" t="b">
        <v>0</v>
      </c>
      <c r="G768" s="114" t="b">
        <v>0</v>
      </c>
    </row>
    <row r="769" spans="1:7" ht="15">
      <c r="A769" s="114" t="s">
        <v>2498</v>
      </c>
      <c r="B769" s="114">
        <v>2</v>
      </c>
      <c r="C769" s="116">
        <v>0.0006112074525163633</v>
      </c>
      <c r="D769" s="114" t="s">
        <v>2559</v>
      </c>
      <c r="E769" s="114" t="b">
        <v>0</v>
      </c>
      <c r="F769" s="114" t="b">
        <v>0</v>
      </c>
      <c r="G769" s="114" t="b">
        <v>0</v>
      </c>
    </row>
    <row r="770" spans="1:7" ht="15">
      <c r="A770" s="114" t="s">
        <v>2499</v>
      </c>
      <c r="B770" s="114">
        <v>2</v>
      </c>
      <c r="C770" s="116">
        <v>0.0006112074525163633</v>
      </c>
      <c r="D770" s="114" t="s">
        <v>2559</v>
      </c>
      <c r="E770" s="114" t="b">
        <v>0</v>
      </c>
      <c r="F770" s="114" t="b">
        <v>0</v>
      </c>
      <c r="G770" s="114" t="b">
        <v>0</v>
      </c>
    </row>
    <row r="771" spans="1:7" ht="15">
      <c r="A771" s="114" t="s">
        <v>2500</v>
      </c>
      <c r="B771" s="114">
        <v>2</v>
      </c>
      <c r="C771" s="116">
        <v>0.0005352281502286346</v>
      </c>
      <c r="D771" s="114" t="s">
        <v>2559</v>
      </c>
      <c r="E771" s="114" t="b">
        <v>0</v>
      </c>
      <c r="F771" s="114" t="b">
        <v>0</v>
      </c>
      <c r="G771" s="114" t="b">
        <v>0</v>
      </c>
    </row>
    <row r="772" spans="1:7" ht="15">
      <c r="A772" s="114" t="s">
        <v>2501</v>
      </c>
      <c r="B772" s="114">
        <v>2</v>
      </c>
      <c r="C772" s="116">
        <v>0.0006112074525163633</v>
      </c>
      <c r="D772" s="114" t="s">
        <v>2559</v>
      </c>
      <c r="E772" s="114" t="b">
        <v>0</v>
      </c>
      <c r="F772" s="114" t="b">
        <v>0</v>
      </c>
      <c r="G772" s="114" t="b">
        <v>0</v>
      </c>
    </row>
    <row r="773" spans="1:7" ht="15">
      <c r="A773" s="114" t="s">
        <v>2502</v>
      </c>
      <c r="B773" s="114">
        <v>2</v>
      </c>
      <c r="C773" s="116">
        <v>0.0005352281502286346</v>
      </c>
      <c r="D773" s="114" t="s">
        <v>2559</v>
      </c>
      <c r="E773" s="114" t="b">
        <v>0</v>
      </c>
      <c r="F773" s="114" t="b">
        <v>0</v>
      </c>
      <c r="G773" s="114" t="b">
        <v>0</v>
      </c>
    </row>
    <row r="774" spans="1:7" ht="15">
      <c r="A774" s="114" t="s">
        <v>2503</v>
      </c>
      <c r="B774" s="114">
        <v>2</v>
      </c>
      <c r="C774" s="116">
        <v>0.0005352281502286346</v>
      </c>
      <c r="D774" s="114" t="s">
        <v>2559</v>
      </c>
      <c r="E774" s="114" t="b">
        <v>0</v>
      </c>
      <c r="F774" s="114" t="b">
        <v>1</v>
      </c>
      <c r="G774" s="114" t="b">
        <v>0</v>
      </c>
    </row>
    <row r="775" spans="1:7" ht="15">
      <c r="A775" s="114" t="s">
        <v>2504</v>
      </c>
      <c r="B775" s="114">
        <v>2</v>
      </c>
      <c r="C775" s="116">
        <v>0.0005352281502286346</v>
      </c>
      <c r="D775" s="114" t="s">
        <v>2559</v>
      </c>
      <c r="E775" s="114" t="b">
        <v>0</v>
      </c>
      <c r="F775" s="114" t="b">
        <v>0</v>
      </c>
      <c r="G775" s="114" t="b">
        <v>0</v>
      </c>
    </row>
    <row r="776" spans="1:7" ht="15">
      <c r="A776" s="114" t="s">
        <v>2505</v>
      </c>
      <c r="B776" s="114">
        <v>2</v>
      </c>
      <c r="C776" s="116">
        <v>0.0005352281502286346</v>
      </c>
      <c r="D776" s="114" t="s">
        <v>2559</v>
      </c>
      <c r="E776" s="114" t="b">
        <v>0</v>
      </c>
      <c r="F776" s="114" t="b">
        <v>0</v>
      </c>
      <c r="G776" s="114" t="b">
        <v>0</v>
      </c>
    </row>
    <row r="777" spans="1:7" ht="15">
      <c r="A777" s="114" t="s">
        <v>2506</v>
      </c>
      <c r="B777" s="114">
        <v>2</v>
      </c>
      <c r="C777" s="116">
        <v>0.0005352281502286346</v>
      </c>
      <c r="D777" s="114" t="s">
        <v>2559</v>
      </c>
      <c r="E777" s="114" t="b">
        <v>0</v>
      </c>
      <c r="F777" s="114" t="b">
        <v>0</v>
      </c>
      <c r="G777" s="114" t="b">
        <v>0</v>
      </c>
    </row>
    <row r="778" spans="1:7" ht="15">
      <c r="A778" s="114" t="s">
        <v>2507</v>
      </c>
      <c r="B778" s="114">
        <v>2</v>
      </c>
      <c r="C778" s="116">
        <v>0.0006112074525163633</v>
      </c>
      <c r="D778" s="114" t="s">
        <v>2559</v>
      </c>
      <c r="E778" s="114" t="b">
        <v>0</v>
      </c>
      <c r="F778" s="114" t="b">
        <v>0</v>
      </c>
      <c r="G778" s="114" t="b">
        <v>0</v>
      </c>
    </row>
    <row r="779" spans="1:7" ht="15">
      <c r="A779" s="114" t="s">
        <v>2508</v>
      </c>
      <c r="B779" s="114">
        <v>2</v>
      </c>
      <c r="C779" s="116">
        <v>0.0006112074525163633</v>
      </c>
      <c r="D779" s="114" t="s">
        <v>2559</v>
      </c>
      <c r="E779" s="114" t="b">
        <v>0</v>
      </c>
      <c r="F779" s="114" t="b">
        <v>0</v>
      </c>
      <c r="G779" s="114" t="b">
        <v>0</v>
      </c>
    </row>
    <row r="780" spans="1:7" ht="15">
      <c r="A780" s="114" t="s">
        <v>2509</v>
      </c>
      <c r="B780" s="114">
        <v>2</v>
      </c>
      <c r="C780" s="116">
        <v>0.0005352281502286346</v>
      </c>
      <c r="D780" s="114" t="s">
        <v>2559</v>
      </c>
      <c r="E780" s="114" t="b">
        <v>0</v>
      </c>
      <c r="F780" s="114" t="b">
        <v>0</v>
      </c>
      <c r="G780" s="114" t="b">
        <v>0</v>
      </c>
    </row>
    <row r="781" spans="1:7" ht="15">
      <c r="A781" s="114" t="s">
        <v>2510</v>
      </c>
      <c r="B781" s="114">
        <v>2</v>
      </c>
      <c r="C781" s="116">
        <v>0.0005352281502286346</v>
      </c>
      <c r="D781" s="114" t="s">
        <v>2559</v>
      </c>
      <c r="E781" s="114" t="b">
        <v>0</v>
      </c>
      <c r="F781" s="114" t="b">
        <v>0</v>
      </c>
      <c r="G781" s="114" t="b">
        <v>0</v>
      </c>
    </row>
    <row r="782" spans="1:7" ht="15">
      <c r="A782" s="114" t="s">
        <v>2511</v>
      </c>
      <c r="B782" s="114">
        <v>2</v>
      </c>
      <c r="C782" s="116">
        <v>0.0006112074525163633</v>
      </c>
      <c r="D782" s="114" t="s">
        <v>2559</v>
      </c>
      <c r="E782" s="114" t="b">
        <v>0</v>
      </c>
      <c r="F782" s="114" t="b">
        <v>0</v>
      </c>
      <c r="G782" s="114" t="b">
        <v>0</v>
      </c>
    </row>
    <row r="783" spans="1:7" ht="15">
      <c r="A783" s="114" t="s">
        <v>2512</v>
      </c>
      <c r="B783" s="114">
        <v>2</v>
      </c>
      <c r="C783" s="116">
        <v>0.0006112074525163633</v>
      </c>
      <c r="D783" s="114" t="s">
        <v>2559</v>
      </c>
      <c r="E783" s="114" t="b">
        <v>0</v>
      </c>
      <c r="F783" s="114" t="b">
        <v>0</v>
      </c>
      <c r="G783" s="114" t="b">
        <v>0</v>
      </c>
    </row>
    <row r="784" spans="1:7" ht="15">
      <c r="A784" s="114" t="s">
        <v>2513</v>
      </c>
      <c r="B784" s="114">
        <v>2</v>
      </c>
      <c r="C784" s="116">
        <v>0.0006112074525163633</v>
      </c>
      <c r="D784" s="114" t="s">
        <v>2559</v>
      </c>
      <c r="E784" s="114" t="b">
        <v>0</v>
      </c>
      <c r="F784" s="114" t="b">
        <v>0</v>
      </c>
      <c r="G784" s="114" t="b">
        <v>0</v>
      </c>
    </row>
    <row r="785" spans="1:7" ht="15">
      <c r="A785" s="114" t="s">
        <v>2514</v>
      </c>
      <c r="B785" s="114">
        <v>2</v>
      </c>
      <c r="C785" s="116">
        <v>0.0005352281502286346</v>
      </c>
      <c r="D785" s="114" t="s">
        <v>2559</v>
      </c>
      <c r="E785" s="114" t="b">
        <v>0</v>
      </c>
      <c r="F785" s="114" t="b">
        <v>0</v>
      </c>
      <c r="G785" s="114" t="b">
        <v>0</v>
      </c>
    </row>
    <row r="786" spans="1:7" ht="15">
      <c r="A786" s="114" t="s">
        <v>2515</v>
      </c>
      <c r="B786" s="114">
        <v>2</v>
      </c>
      <c r="C786" s="116">
        <v>0.0005352281502286346</v>
      </c>
      <c r="D786" s="114" t="s">
        <v>2559</v>
      </c>
      <c r="E786" s="114" t="b">
        <v>0</v>
      </c>
      <c r="F786" s="114" t="b">
        <v>0</v>
      </c>
      <c r="G786" s="114" t="b">
        <v>0</v>
      </c>
    </row>
    <row r="787" spans="1:7" ht="15">
      <c r="A787" s="114" t="s">
        <v>2516</v>
      </c>
      <c r="B787" s="114">
        <v>2</v>
      </c>
      <c r="C787" s="116">
        <v>0.0006112074525163633</v>
      </c>
      <c r="D787" s="114" t="s">
        <v>2559</v>
      </c>
      <c r="E787" s="114" t="b">
        <v>0</v>
      </c>
      <c r="F787" s="114" t="b">
        <v>0</v>
      </c>
      <c r="G787" s="114" t="b">
        <v>0</v>
      </c>
    </row>
    <row r="788" spans="1:7" ht="15">
      <c r="A788" s="114" t="s">
        <v>2517</v>
      </c>
      <c r="B788" s="114">
        <v>2</v>
      </c>
      <c r="C788" s="116">
        <v>0.0006112074525163633</v>
      </c>
      <c r="D788" s="114" t="s">
        <v>2559</v>
      </c>
      <c r="E788" s="114" t="b">
        <v>0</v>
      </c>
      <c r="F788" s="114" t="b">
        <v>0</v>
      </c>
      <c r="G788" s="114" t="b">
        <v>0</v>
      </c>
    </row>
    <row r="789" spans="1:7" ht="15">
      <c r="A789" s="114" t="s">
        <v>2518</v>
      </c>
      <c r="B789" s="114">
        <v>2</v>
      </c>
      <c r="C789" s="116">
        <v>0.0006112074525163633</v>
      </c>
      <c r="D789" s="114" t="s">
        <v>2559</v>
      </c>
      <c r="E789" s="114" t="b">
        <v>0</v>
      </c>
      <c r="F789" s="114" t="b">
        <v>0</v>
      </c>
      <c r="G789" s="114" t="b">
        <v>0</v>
      </c>
    </row>
    <row r="790" spans="1:7" ht="15">
      <c r="A790" s="114" t="s">
        <v>2519</v>
      </c>
      <c r="B790" s="114">
        <v>2</v>
      </c>
      <c r="C790" s="116">
        <v>0.0005352281502286346</v>
      </c>
      <c r="D790" s="114" t="s">
        <v>2559</v>
      </c>
      <c r="E790" s="114" t="b">
        <v>0</v>
      </c>
      <c r="F790" s="114" t="b">
        <v>0</v>
      </c>
      <c r="G790" s="114" t="b">
        <v>0</v>
      </c>
    </row>
    <row r="791" spans="1:7" ht="15">
      <c r="A791" s="114" t="s">
        <v>2520</v>
      </c>
      <c r="B791" s="114">
        <v>2</v>
      </c>
      <c r="C791" s="116">
        <v>0.0006112074525163633</v>
      </c>
      <c r="D791" s="114" t="s">
        <v>2559</v>
      </c>
      <c r="E791" s="114" t="b">
        <v>0</v>
      </c>
      <c r="F791" s="114" t="b">
        <v>0</v>
      </c>
      <c r="G791" s="114" t="b">
        <v>0</v>
      </c>
    </row>
    <row r="792" spans="1:7" ht="15">
      <c r="A792" s="114" t="s">
        <v>2521</v>
      </c>
      <c r="B792" s="114">
        <v>2</v>
      </c>
      <c r="C792" s="116">
        <v>0.0006112074525163633</v>
      </c>
      <c r="D792" s="114" t="s">
        <v>2559</v>
      </c>
      <c r="E792" s="114" t="b">
        <v>0</v>
      </c>
      <c r="F792" s="114" t="b">
        <v>0</v>
      </c>
      <c r="G792" s="114" t="b">
        <v>0</v>
      </c>
    </row>
    <row r="793" spans="1:7" ht="15">
      <c r="A793" s="114" t="s">
        <v>2522</v>
      </c>
      <c r="B793" s="114">
        <v>2</v>
      </c>
      <c r="C793" s="116">
        <v>0.0005352281502286346</v>
      </c>
      <c r="D793" s="114" t="s">
        <v>2559</v>
      </c>
      <c r="E793" s="114" t="b">
        <v>0</v>
      </c>
      <c r="F793" s="114" t="b">
        <v>0</v>
      </c>
      <c r="G793" s="114" t="b">
        <v>0</v>
      </c>
    </row>
    <row r="794" spans="1:7" ht="15">
      <c r="A794" s="114" t="s">
        <v>2523</v>
      </c>
      <c r="B794" s="114">
        <v>2</v>
      </c>
      <c r="C794" s="116">
        <v>0.0005352281502286346</v>
      </c>
      <c r="D794" s="114" t="s">
        <v>2559</v>
      </c>
      <c r="E794" s="114" t="b">
        <v>0</v>
      </c>
      <c r="F794" s="114" t="b">
        <v>0</v>
      </c>
      <c r="G794" s="114" t="b">
        <v>0</v>
      </c>
    </row>
    <row r="795" spans="1:7" ht="15">
      <c r="A795" s="114" t="s">
        <v>2524</v>
      </c>
      <c r="B795" s="114">
        <v>2</v>
      </c>
      <c r="C795" s="116">
        <v>0.0005352281502286346</v>
      </c>
      <c r="D795" s="114" t="s">
        <v>2559</v>
      </c>
      <c r="E795" s="114" t="b">
        <v>0</v>
      </c>
      <c r="F795" s="114" t="b">
        <v>0</v>
      </c>
      <c r="G795" s="114" t="b">
        <v>0</v>
      </c>
    </row>
    <row r="796" spans="1:7" ht="15">
      <c r="A796" s="114" t="s">
        <v>2525</v>
      </c>
      <c r="B796" s="114">
        <v>2</v>
      </c>
      <c r="C796" s="116">
        <v>0.0005352281502286346</v>
      </c>
      <c r="D796" s="114" t="s">
        <v>2559</v>
      </c>
      <c r="E796" s="114" t="b">
        <v>0</v>
      </c>
      <c r="F796" s="114" t="b">
        <v>0</v>
      </c>
      <c r="G796" s="114" t="b">
        <v>0</v>
      </c>
    </row>
    <row r="797" spans="1:7" ht="15">
      <c r="A797" s="114" t="s">
        <v>2526</v>
      </c>
      <c r="B797" s="114">
        <v>2</v>
      </c>
      <c r="C797" s="116">
        <v>0.0005352281502286346</v>
      </c>
      <c r="D797" s="114" t="s">
        <v>2559</v>
      </c>
      <c r="E797" s="114" t="b">
        <v>0</v>
      </c>
      <c r="F797" s="114" t="b">
        <v>0</v>
      </c>
      <c r="G797" s="114" t="b">
        <v>0</v>
      </c>
    </row>
    <row r="798" spans="1:7" ht="15">
      <c r="A798" s="114" t="s">
        <v>2527</v>
      </c>
      <c r="B798" s="114">
        <v>2</v>
      </c>
      <c r="C798" s="116">
        <v>0.0006112074525163633</v>
      </c>
      <c r="D798" s="114" t="s">
        <v>2559</v>
      </c>
      <c r="E798" s="114" t="b">
        <v>0</v>
      </c>
      <c r="F798" s="114" t="b">
        <v>0</v>
      </c>
      <c r="G798" s="114" t="b">
        <v>0</v>
      </c>
    </row>
    <row r="799" spans="1:7" ht="15">
      <c r="A799" s="114" t="s">
        <v>2528</v>
      </c>
      <c r="B799" s="114">
        <v>2</v>
      </c>
      <c r="C799" s="116">
        <v>0.0006112074525163633</v>
      </c>
      <c r="D799" s="114" t="s">
        <v>2559</v>
      </c>
      <c r="E799" s="114" t="b">
        <v>0</v>
      </c>
      <c r="F799" s="114" t="b">
        <v>0</v>
      </c>
      <c r="G799" s="114" t="b">
        <v>0</v>
      </c>
    </row>
    <row r="800" spans="1:7" ht="15">
      <c r="A800" s="114" t="s">
        <v>2529</v>
      </c>
      <c r="B800" s="114">
        <v>2</v>
      </c>
      <c r="C800" s="116">
        <v>0.0006112074525163633</v>
      </c>
      <c r="D800" s="114" t="s">
        <v>2559</v>
      </c>
      <c r="E800" s="114" t="b">
        <v>0</v>
      </c>
      <c r="F800" s="114" t="b">
        <v>0</v>
      </c>
      <c r="G800" s="114" t="b">
        <v>0</v>
      </c>
    </row>
    <row r="801" spans="1:7" ht="15">
      <c r="A801" s="114" t="s">
        <v>2530</v>
      </c>
      <c r="B801" s="114">
        <v>2</v>
      </c>
      <c r="C801" s="116">
        <v>0.0006112074525163633</v>
      </c>
      <c r="D801" s="114" t="s">
        <v>2559</v>
      </c>
      <c r="E801" s="114" t="b">
        <v>0</v>
      </c>
      <c r="F801" s="114" t="b">
        <v>0</v>
      </c>
      <c r="G801" s="114" t="b">
        <v>0</v>
      </c>
    </row>
    <row r="802" spans="1:7" ht="15">
      <c r="A802" s="114" t="s">
        <v>2531</v>
      </c>
      <c r="B802" s="114">
        <v>2</v>
      </c>
      <c r="C802" s="116">
        <v>0.0006112074525163633</v>
      </c>
      <c r="D802" s="114" t="s">
        <v>2559</v>
      </c>
      <c r="E802" s="114" t="b">
        <v>0</v>
      </c>
      <c r="F802" s="114" t="b">
        <v>0</v>
      </c>
      <c r="G802" s="114" t="b">
        <v>0</v>
      </c>
    </row>
    <row r="803" spans="1:7" ht="15">
      <c r="A803" s="114" t="s">
        <v>2532</v>
      </c>
      <c r="B803" s="114">
        <v>2</v>
      </c>
      <c r="C803" s="116">
        <v>0.0006112074525163633</v>
      </c>
      <c r="D803" s="114" t="s">
        <v>2559</v>
      </c>
      <c r="E803" s="114" t="b">
        <v>0</v>
      </c>
      <c r="F803" s="114" t="b">
        <v>0</v>
      </c>
      <c r="G803" s="114" t="b">
        <v>0</v>
      </c>
    </row>
    <row r="804" spans="1:7" ht="15">
      <c r="A804" s="114" t="s">
        <v>2533</v>
      </c>
      <c r="B804" s="114">
        <v>2</v>
      </c>
      <c r="C804" s="116">
        <v>0.0006112074525163633</v>
      </c>
      <c r="D804" s="114" t="s">
        <v>2559</v>
      </c>
      <c r="E804" s="114" t="b">
        <v>0</v>
      </c>
      <c r="F804" s="114" t="b">
        <v>0</v>
      </c>
      <c r="G804" s="114" t="b">
        <v>0</v>
      </c>
    </row>
    <row r="805" spans="1:7" ht="15">
      <c r="A805" s="114" t="s">
        <v>2534</v>
      </c>
      <c r="B805" s="114">
        <v>2</v>
      </c>
      <c r="C805" s="116">
        <v>0.0006112074525163633</v>
      </c>
      <c r="D805" s="114" t="s">
        <v>2559</v>
      </c>
      <c r="E805" s="114" t="b">
        <v>0</v>
      </c>
      <c r="F805" s="114" t="b">
        <v>0</v>
      </c>
      <c r="G805" s="114" t="b">
        <v>0</v>
      </c>
    </row>
    <row r="806" spans="1:7" ht="15">
      <c r="A806" s="114" t="s">
        <v>2535</v>
      </c>
      <c r="B806" s="114">
        <v>2</v>
      </c>
      <c r="C806" s="116">
        <v>0.0006112074525163633</v>
      </c>
      <c r="D806" s="114" t="s">
        <v>2559</v>
      </c>
      <c r="E806" s="114" t="b">
        <v>0</v>
      </c>
      <c r="F806" s="114" t="b">
        <v>0</v>
      </c>
      <c r="G806" s="114" t="b">
        <v>0</v>
      </c>
    </row>
    <row r="807" spans="1:7" ht="15">
      <c r="A807" s="114" t="s">
        <v>2536</v>
      </c>
      <c r="B807" s="114">
        <v>2</v>
      </c>
      <c r="C807" s="116">
        <v>0.0006112074525163633</v>
      </c>
      <c r="D807" s="114" t="s">
        <v>2559</v>
      </c>
      <c r="E807" s="114" t="b">
        <v>0</v>
      </c>
      <c r="F807" s="114" t="b">
        <v>0</v>
      </c>
      <c r="G807" s="114" t="b">
        <v>0</v>
      </c>
    </row>
    <row r="808" spans="1:7" ht="15">
      <c r="A808" s="114" t="s">
        <v>2537</v>
      </c>
      <c r="B808" s="114">
        <v>2</v>
      </c>
      <c r="C808" s="116">
        <v>0.0006112074525163633</v>
      </c>
      <c r="D808" s="114" t="s">
        <v>2559</v>
      </c>
      <c r="E808" s="114" t="b">
        <v>0</v>
      </c>
      <c r="F808" s="114" t="b">
        <v>0</v>
      </c>
      <c r="G808" s="114" t="b">
        <v>0</v>
      </c>
    </row>
    <row r="809" spans="1:7" ht="15">
      <c r="A809" s="114" t="s">
        <v>2538</v>
      </c>
      <c r="B809" s="114">
        <v>2</v>
      </c>
      <c r="C809" s="116">
        <v>0.0005352281502286346</v>
      </c>
      <c r="D809" s="114" t="s">
        <v>2559</v>
      </c>
      <c r="E809" s="114" t="b">
        <v>0</v>
      </c>
      <c r="F809" s="114" t="b">
        <v>0</v>
      </c>
      <c r="G809" s="114" t="b">
        <v>0</v>
      </c>
    </row>
    <row r="810" spans="1:7" ht="15">
      <c r="A810" s="114" t="s">
        <v>2539</v>
      </c>
      <c r="B810" s="114">
        <v>2</v>
      </c>
      <c r="C810" s="116">
        <v>0.0006112074525163633</v>
      </c>
      <c r="D810" s="114" t="s">
        <v>2559</v>
      </c>
      <c r="E810" s="114" t="b">
        <v>0</v>
      </c>
      <c r="F810" s="114" t="b">
        <v>0</v>
      </c>
      <c r="G810" s="114" t="b">
        <v>0</v>
      </c>
    </row>
    <row r="811" spans="1:7" ht="15">
      <c r="A811" s="114" t="s">
        <v>2540</v>
      </c>
      <c r="B811" s="114">
        <v>2</v>
      </c>
      <c r="C811" s="116">
        <v>0.0005352281502286346</v>
      </c>
      <c r="D811" s="114" t="s">
        <v>2559</v>
      </c>
      <c r="E811" s="114" t="b">
        <v>0</v>
      </c>
      <c r="F811" s="114" t="b">
        <v>0</v>
      </c>
      <c r="G811" s="114" t="b">
        <v>0</v>
      </c>
    </row>
    <row r="812" spans="1:7" ht="15">
      <c r="A812" s="114" t="s">
        <v>2541</v>
      </c>
      <c r="B812" s="114">
        <v>2</v>
      </c>
      <c r="C812" s="116">
        <v>0.0005352281502286346</v>
      </c>
      <c r="D812" s="114" t="s">
        <v>2559</v>
      </c>
      <c r="E812" s="114" t="b">
        <v>0</v>
      </c>
      <c r="F812" s="114" t="b">
        <v>0</v>
      </c>
      <c r="G812" s="114" t="b">
        <v>0</v>
      </c>
    </row>
    <row r="813" spans="1:7" ht="15">
      <c r="A813" s="114" t="s">
        <v>2542</v>
      </c>
      <c r="B813" s="114">
        <v>2</v>
      </c>
      <c r="C813" s="116">
        <v>0.0005352281502286346</v>
      </c>
      <c r="D813" s="114" t="s">
        <v>2559</v>
      </c>
      <c r="E813" s="114" t="b">
        <v>0</v>
      </c>
      <c r="F813" s="114" t="b">
        <v>0</v>
      </c>
      <c r="G813" s="114" t="b">
        <v>0</v>
      </c>
    </row>
    <row r="814" spans="1:7" ht="15">
      <c r="A814" s="114" t="s">
        <v>2543</v>
      </c>
      <c r="B814" s="114">
        <v>2</v>
      </c>
      <c r="C814" s="116">
        <v>0.0006112074525163633</v>
      </c>
      <c r="D814" s="114" t="s">
        <v>2559</v>
      </c>
      <c r="E814" s="114" t="b">
        <v>0</v>
      </c>
      <c r="F814" s="114" t="b">
        <v>0</v>
      </c>
      <c r="G814" s="114" t="b">
        <v>0</v>
      </c>
    </row>
    <row r="815" spans="1:7" ht="15">
      <c r="A815" s="114" t="s">
        <v>2544</v>
      </c>
      <c r="B815" s="114">
        <v>2</v>
      </c>
      <c r="C815" s="116">
        <v>0.0006112074525163633</v>
      </c>
      <c r="D815" s="114" t="s">
        <v>2559</v>
      </c>
      <c r="E815" s="114" t="b">
        <v>0</v>
      </c>
      <c r="F815" s="114" t="b">
        <v>0</v>
      </c>
      <c r="G815" s="114" t="b">
        <v>0</v>
      </c>
    </row>
    <row r="816" spans="1:7" ht="15">
      <c r="A816" s="114" t="s">
        <v>2545</v>
      </c>
      <c r="B816" s="114">
        <v>2</v>
      </c>
      <c r="C816" s="116">
        <v>0.0006112074525163633</v>
      </c>
      <c r="D816" s="114" t="s">
        <v>2559</v>
      </c>
      <c r="E816" s="114" t="b">
        <v>0</v>
      </c>
      <c r="F816" s="114" t="b">
        <v>0</v>
      </c>
      <c r="G816" s="114" t="b">
        <v>0</v>
      </c>
    </row>
    <row r="817" spans="1:7" ht="15">
      <c r="A817" s="114" t="s">
        <v>2546</v>
      </c>
      <c r="B817" s="114">
        <v>2</v>
      </c>
      <c r="C817" s="116">
        <v>0.0006112074525163633</v>
      </c>
      <c r="D817" s="114" t="s">
        <v>2559</v>
      </c>
      <c r="E817" s="114" t="b">
        <v>0</v>
      </c>
      <c r="F817" s="114" t="b">
        <v>0</v>
      </c>
      <c r="G817" s="114" t="b">
        <v>0</v>
      </c>
    </row>
    <row r="818" spans="1:7" ht="15">
      <c r="A818" s="114" t="s">
        <v>2547</v>
      </c>
      <c r="B818" s="114">
        <v>2</v>
      </c>
      <c r="C818" s="116">
        <v>0.0005352281502286346</v>
      </c>
      <c r="D818" s="114" t="s">
        <v>2559</v>
      </c>
      <c r="E818" s="114" t="b">
        <v>0</v>
      </c>
      <c r="F818" s="114" t="b">
        <v>0</v>
      </c>
      <c r="G818" s="114" t="b">
        <v>0</v>
      </c>
    </row>
    <row r="819" spans="1:7" ht="15">
      <c r="A819" s="114" t="s">
        <v>2548</v>
      </c>
      <c r="B819" s="114">
        <v>2</v>
      </c>
      <c r="C819" s="116">
        <v>0.0006112074525163633</v>
      </c>
      <c r="D819" s="114" t="s">
        <v>2559</v>
      </c>
      <c r="E819" s="114" t="b">
        <v>1</v>
      </c>
      <c r="F819" s="114" t="b">
        <v>0</v>
      </c>
      <c r="G819" s="114" t="b">
        <v>0</v>
      </c>
    </row>
    <row r="820" spans="1:7" ht="15">
      <c r="A820" s="114" t="s">
        <v>2549</v>
      </c>
      <c r="B820" s="114">
        <v>2</v>
      </c>
      <c r="C820" s="116">
        <v>0.0005352281502286346</v>
      </c>
      <c r="D820" s="114" t="s">
        <v>2559</v>
      </c>
      <c r="E820" s="114" t="b">
        <v>0</v>
      </c>
      <c r="F820" s="114" t="b">
        <v>0</v>
      </c>
      <c r="G820" s="114" t="b">
        <v>0</v>
      </c>
    </row>
    <row r="821" spans="1:7" ht="15">
      <c r="A821" s="114" t="s">
        <v>2550</v>
      </c>
      <c r="B821" s="114">
        <v>2</v>
      </c>
      <c r="C821" s="116">
        <v>0.0005352281502286346</v>
      </c>
      <c r="D821" s="114" t="s">
        <v>2559</v>
      </c>
      <c r="E821" s="114" t="b">
        <v>0</v>
      </c>
      <c r="F821" s="114" t="b">
        <v>0</v>
      </c>
      <c r="G821" s="114" t="b">
        <v>0</v>
      </c>
    </row>
    <row r="822" spans="1:7" ht="15">
      <c r="A822" s="114" t="s">
        <v>2551</v>
      </c>
      <c r="B822" s="114">
        <v>2</v>
      </c>
      <c r="C822" s="116">
        <v>0.0006112074525163633</v>
      </c>
      <c r="D822" s="114" t="s">
        <v>2559</v>
      </c>
      <c r="E822" s="114" t="b">
        <v>0</v>
      </c>
      <c r="F822" s="114" t="b">
        <v>0</v>
      </c>
      <c r="G822" s="114" t="b">
        <v>0</v>
      </c>
    </row>
    <row r="823" spans="1:7" ht="15">
      <c r="A823" s="114" t="s">
        <v>2552</v>
      </c>
      <c r="B823" s="114">
        <v>2</v>
      </c>
      <c r="C823" s="116">
        <v>0.0006112074525163633</v>
      </c>
      <c r="D823" s="114" t="s">
        <v>2559</v>
      </c>
      <c r="E823" s="114" t="b">
        <v>0</v>
      </c>
      <c r="F823" s="114" t="b">
        <v>0</v>
      </c>
      <c r="G823" s="114" t="b">
        <v>0</v>
      </c>
    </row>
    <row r="824" spans="1:7" ht="15">
      <c r="A824" s="114" t="s">
        <v>2553</v>
      </c>
      <c r="B824" s="114">
        <v>2</v>
      </c>
      <c r="C824" s="116">
        <v>0.0006112074525163633</v>
      </c>
      <c r="D824" s="114" t="s">
        <v>2559</v>
      </c>
      <c r="E824" s="114" t="b">
        <v>0</v>
      </c>
      <c r="F824" s="114" t="b">
        <v>0</v>
      </c>
      <c r="G824" s="114" t="b">
        <v>0</v>
      </c>
    </row>
    <row r="825" spans="1:7" ht="15">
      <c r="A825" s="114" t="s">
        <v>1739</v>
      </c>
      <c r="B825" s="114">
        <v>154</v>
      </c>
      <c r="C825" s="116">
        <v>0.02264100215385538</v>
      </c>
      <c r="D825" s="114" t="s">
        <v>1707</v>
      </c>
      <c r="E825" s="114" t="b">
        <v>0</v>
      </c>
      <c r="F825" s="114" t="b">
        <v>0</v>
      </c>
      <c r="G825" s="114" t="b">
        <v>0</v>
      </c>
    </row>
    <row r="826" spans="1:7" ht="15">
      <c r="A826" s="114" t="s">
        <v>1740</v>
      </c>
      <c r="B826" s="114">
        <v>119</v>
      </c>
      <c r="C826" s="116">
        <v>0.017495319846160977</v>
      </c>
      <c r="D826" s="114" t="s">
        <v>1707</v>
      </c>
      <c r="E826" s="114" t="b">
        <v>0</v>
      </c>
      <c r="F826" s="114" t="b">
        <v>0</v>
      </c>
      <c r="G826" s="114" t="b">
        <v>0</v>
      </c>
    </row>
    <row r="827" spans="1:7" ht="15">
      <c r="A827" s="114" t="s">
        <v>1742</v>
      </c>
      <c r="B827" s="114">
        <v>66</v>
      </c>
      <c r="C827" s="116">
        <v>0.02018728089442243</v>
      </c>
      <c r="D827" s="114" t="s">
        <v>1707</v>
      </c>
      <c r="E827" s="114" t="b">
        <v>0</v>
      </c>
      <c r="F827" s="114" t="b">
        <v>0</v>
      </c>
      <c r="G827" s="114" t="b">
        <v>0</v>
      </c>
    </row>
    <row r="828" spans="1:7" ht="15">
      <c r="A828" s="114" t="s">
        <v>1741</v>
      </c>
      <c r="B828" s="114">
        <v>62</v>
      </c>
      <c r="C828" s="116">
        <v>0.011828085101892098</v>
      </c>
      <c r="D828" s="114" t="s">
        <v>1707</v>
      </c>
      <c r="E828" s="114" t="b">
        <v>0</v>
      </c>
      <c r="F828" s="114" t="b">
        <v>0</v>
      </c>
      <c r="G828" s="114" t="b">
        <v>0</v>
      </c>
    </row>
    <row r="829" spans="1:7" ht="15">
      <c r="A829" s="114" t="s">
        <v>1743</v>
      </c>
      <c r="B829" s="114">
        <v>51</v>
      </c>
      <c r="C829" s="116">
        <v>0.010345667397270822</v>
      </c>
      <c r="D829" s="114" t="s">
        <v>1707</v>
      </c>
      <c r="E829" s="114" t="b">
        <v>0</v>
      </c>
      <c r="F829" s="114" t="b">
        <v>0</v>
      </c>
      <c r="G829" s="114" t="b">
        <v>0</v>
      </c>
    </row>
    <row r="830" spans="1:7" ht="15">
      <c r="A830" s="114" t="s">
        <v>1744</v>
      </c>
      <c r="B830" s="114">
        <v>33</v>
      </c>
      <c r="C830" s="116">
        <v>0.012788397511311802</v>
      </c>
      <c r="D830" s="114" t="s">
        <v>1707</v>
      </c>
      <c r="E830" s="114" t="b">
        <v>0</v>
      </c>
      <c r="F830" s="114" t="b">
        <v>0</v>
      </c>
      <c r="G830" s="114" t="b">
        <v>0</v>
      </c>
    </row>
    <row r="831" spans="1:7" ht="15">
      <c r="A831" s="114" t="s">
        <v>1762</v>
      </c>
      <c r="B831" s="114">
        <v>29</v>
      </c>
      <c r="C831" s="116">
        <v>0.01567515994753095</v>
      </c>
      <c r="D831" s="114" t="s">
        <v>1707</v>
      </c>
      <c r="E831" s="114" t="b">
        <v>0</v>
      </c>
      <c r="F831" s="114" t="b">
        <v>0</v>
      </c>
      <c r="G831" s="114" t="b">
        <v>0</v>
      </c>
    </row>
    <row r="832" spans="1:7" ht="15">
      <c r="A832" s="114" t="s">
        <v>1753</v>
      </c>
      <c r="B832" s="114">
        <v>23</v>
      </c>
      <c r="C832" s="116">
        <v>0.010791289552560151</v>
      </c>
      <c r="D832" s="114" t="s">
        <v>1707</v>
      </c>
      <c r="E832" s="114" t="b">
        <v>0</v>
      </c>
      <c r="F832" s="114" t="b">
        <v>0</v>
      </c>
      <c r="G832" s="114" t="b">
        <v>0</v>
      </c>
    </row>
    <row r="833" spans="1:7" ht="15">
      <c r="A833" s="114" t="s">
        <v>1747</v>
      </c>
      <c r="B833" s="114">
        <v>22</v>
      </c>
      <c r="C833" s="116">
        <v>0.0071321210296475795</v>
      </c>
      <c r="D833" s="114" t="s">
        <v>1707</v>
      </c>
      <c r="E833" s="114" t="b">
        <v>0</v>
      </c>
      <c r="F833" s="114" t="b">
        <v>0</v>
      </c>
      <c r="G833" s="114" t="b">
        <v>0</v>
      </c>
    </row>
    <row r="834" spans="1:7" ht="15">
      <c r="A834" s="114" t="s">
        <v>1759</v>
      </c>
      <c r="B834" s="114">
        <v>19</v>
      </c>
      <c r="C834" s="116">
        <v>0.00954977094636059</v>
      </c>
      <c r="D834" s="114" t="s">
        <v>1707</v>
      </c>
      <c r="E834" s="114" t="b">
        <v>0</v>
      </c>
      <c r="F834" s="114" t="b">
        <v>0</v>
      </c>
      <c r="G834" s="114" t="b">
        <v>0</v>
      </c>
    </row>
    <row r="835" spans="1:7" ht="15">
      <c r="A835" s="114" t="s">
        <v>1797</v>
      </c>
      <c r="B835" s="114">
        <v>18</v>
      </c>
      <c r="C835" s="116">
        <v>0.010517018912377338</v>
      </c>
      <c r="D835" s="114" t="s">
        <v>1707</v>
      </c>
      <c r="E835" s="114" t="b">
        <v>0</v>
      </c>
      <c r="F835" s="114" t="b">
        <v>0</v>
      </c>
      <c r="G835" s="114" t="b">
        <v>0</v>
      </c>
    </row>
    <row r="836" spans="1:7" ht="15">
      <c r="A836" s="114" t="s">
        <v>1746</v>
      </c>
      <c r="B836" s="114">
        <v>18</v>
      </c>
      <c r="C836" s="116">
        <v>0.00844535704113403</v>
      </c>
      <c r="D836" s="114" t="s">
        <v>1707</v>
      </c>
      <c r="E836" s="114" t="b">
        <v>0</v>
      </c>
      <c r="F836" s="114" t="b">
        <v>1</v>
      </c>
      <c r="G836" s="114" t="b">
        <v>0</v>
      </c>
    </row>
    <row r="837" spans="1:7" ht="15">
      <c r="A837" s="114" t="s">
        <v>1749</v>
      </c>
      <c r="B837" s="114">
        <v>16</v>
      </c>
      <c r="C837" s="116">
        <v>0.01017650042980077</v>
      </c>
      <c r="D837" s="114" t="s">
        <v>1707</v>
      </c>
      <c r="E837" s="114" t="b">
        <v>0</v>
      </c>
      <c r="F837" s="114" t="b">
        <v>0</v>
      </c>
      <c r="G837" s="114" t="b">
        <v>0</v>
      </c>
    </row>
    <row r="838" spans="1:7" ht="15">
      <c r="A838" s="114" t="s">
        <v>1778</v>
      </c>
      <c r="B838" s="114">
        <v>15</v>
      </c>
      <c r="C838" s="116">
        <v>0.008764182426981116</v>
      </c>
      <c r="D838" s="114" t="s">
        <v>1707</v>
      </c>
      <c r="E838" s="114" t="b">
        <v>0</v>
      </c>
      <c r="F838" s="114" t="b">
        <v>0</v>
      </c>
      <c r="G838" s="114" t="b">
        <v>0</v>
      </c>
    </row>
    <row r="839" spans="1:7" ht="15">
      <c r="A839" s="114" t="s">
        <v>1750</v>
      </c>
      <c r="B839" s="114">
        <v>15</v>
      </c>
      <c r="C839" s="116">
        <v>0.006589194685644289</v>
      </c>
      <c r="D839" s="114" t="s">
        <v>1707</v>
      </c>
      <c r="E839" s="114" t="b">
        <v>0</v>
      </c>
      <c r="F839" s="114" t="b">
        <v>0</v>
      </c>
      <c r="G839" s="114" t="b">
        <v>0</v>
      </c>
    </row>
    <row r="840" spans="1:7" ht="15">
      <c r="A840" s="114" t="s">
        <v>1751</v>
      </c>
      <c r="B840" s="114">
        <v>15</v>
      </c>
      <c r="C840" s="116">
        <v>0.008107841352171182</v>
      </c>
      <c r="D840" s="114" t="s">
        <v>1707</v>
      </c>
      <c r="E840" s="114" t="b">
        <v>0</v>
      </c>
      <c r="F840" s="114" t="b">
        <v>1</v>
      </c>
      <c r="G840" s="114" t="b">
        <v>0</v>
      </c>
    </row>
    <row r="841" spans="1:7" ht="15">
      <c r="A841" s="114" t="s">
        <v>1748</v>
      </c>
      <c r="B841" s="114">
        <v>15</v>
      </c>
      <c r="C841" s="116">
        <v>0.0070377975342783596</v>
      </c>
      <c r="D841" s="114" t="s">
        <v>1707</v>
      </c>
      <c r="E841" s="114" t="b">
        <v>0</v>
      </c>
      <c r="F841" s="114" t="b">
        <v>0</v>
      </c>
      <c r="G841" s="114" t="b">
        <v>0</v>
      </c>
    </row>
    <row r="842" spans="1:7" ht="15">
      <c r="A842" s="114" t="s">
        <v>1802</v>
      </c>
      <c r="B842" s="114">
        <v>14</v>
      </c>
      <c r="C842" s="116">
        <v>0.008179903598515708</v>
      </c>
      <c r="D842" s="114" t="s">
        <v>1707</v>
      </c>
      <c r="E842" s="114" t="b">
        <v>0</v>
      </c>
      <c r="F842" s="114" t="b">
        <v>0</v>
      </c>
      <c r="G842" s="114" t="b">
        <v>0</v>
      </c>
    </row>
    <row r="843" spans="1:7" ht="15">
      <c r="A843" s="114" t="s">
        <v>1796</v>
      </c>
      <c r="B843" s="114">
        <v>14</v>
      </c>
      <c r="C843" s="116">
        <v>0.008179903598515708</v>
      </c>
      <c r="D843" s="114" t="s">
        <v>1707</v>
      </c>
      <c r="E843" s="114" t="b">
        <v>0</v>
      </c>
      <c r="F843" s="114" t="b">
        <v>0</v>
      </c>
      <c r="G843" s="114" t="b">
        <v>0</v>
      </c>
    </row>
    <row r="844" spans="1:7" ht="15">
      <c r="A844" s="114" t="s">
        <v>1807</v>
      </c>
      <c r="B844" s="114">
        <v>12</v>
      </c>
      <c r="C844" s="116">
        <v>0.008392453855747098</v>
      </c>
      <c r="D844" s="114" t="s">
        <v>1707</v>
      </c>
      <c r="E844" s="114" t="b">
        <v>0</v>
      </c>
      <c r="F844" s="114" t="b">
        <v>0</v>
      </c>
      <c r="G844" s="114" t="b">
        <v>0</v>
      </c>
    </row>
    <row r="845" spans="1:7" ht="15">
      <c r="A845" s="114" t="s">
        <v>1841</v>
      </c>
      <c r="B845" s="114">
        <v>11</v>
      </c>
      <c r="C845" s="116">
        <v>0.005945750324925533</v>
      </c>
      <c r="D845" s="114" t="s">
        <v>1707</v>
      </c>
      <c r="E845" s="114" t="b">
        <v>0</v>
      </c>
      <c r="F845" s="114" t="b">
        <v>0</v>
      </c>
      <c r="G845" s="114" t="b">
        <v>0</v>
      </c>
    </row>
    <row r="846" spans="1:7" ht="15">
      <c r="A846" s="114" t="s">
        <v>1842</v>
      </c>
      <c r="B846" s="114">
        <v>11</v>
      </c>
      <c r="C846" s="116">
        <v>0.005945750324925533</v>
      </c>
      <c r="D846" s="114" t="s">
        <v>1707</v>
      </c>
      <c r="E846" s="114" t="b">
        <v>0</v>
      </c>
      <c r="F846" s="114" t="b">
        <v>0</v>
      </c>
      <c r="G846" s="114" t="b">
        <v>0</v>
      </c>
    </row>
    <row r="847" spans="1:7" ht="15">
      <c r="A847" s="114" t="s">
        <v>1819</v>
      </c>
      <c r="B847" s="114">
        <v>10</v>
      </c>
      <c r="C847" s="116">
        <v>0.005842788284654077</v>
      </c>
      <c r="D847" s="114" t="s">
        <v>1707</v>
      </c>
      <c r="E847" s="114" t="b">
        <v>0</v>
      </c>
      <c r="F847" s="114" t="b">
        <v>0</v>
      </c>
      <c r="G847" s="114" t="b">
        <v>0</v>
      </c>
    </row>
    <row r="848" spans="1:7" ht="15">
      <c r="A848" s="114" t="s">
        <v>1799</v>
      </c>
      <c r="B848" s="114">
        <v>9</v>
      </c>
      <c r="C848" s="116">
        <v>0.007029274136565029</v>
      </c>
      <c r="D848" s="114" t="s">
        <v>1707</v>
      </c>
      <c r="E848" s="114" t="b">
        <v>0</v>
      </c>
      <c r="F848" s="114" t="b">
        <v>0</v>
      </c>
      <c r="G848" s="114" t="b">
        <v>0</v>
      </c>
    </row>
    <row r="849" spans="1:7" ht="15">
      <c r="A849" s="114" t="s">
        <v>1766</v>
      </c>
      <c r="B849" s="114">
        <v>9</v>
      </c>
      <c r="C849" s="116">
        <v>0.004523575711433964</v>
      </c>
      <c r="D849" s="114" t="s">
        <v>1707</v>
      </c>
      <c r="E849" s="114" t="b">
        <v>0</v>
      </c>
      <c r="F849" s="114" t="b">
        <v>1</v>
      </c>
      <c r="G849" s="114" t="b">
        <v>0</v>
      </c>
    </row>
    <row r="850" spans="1:7" ht="15">
      <c r="A850" s="114" t="s">
        <v>1771</v>
      </c>
      <c r="B850" s="114">
        <v>9</v>
      </c>
      <c r="C850" s="116">
        <v>0.005724281491762934</v>
      </c>
      <c r="D850" s="114" t="s">
        <v>1707</v>
      </c>
      <c r="E850" s="114" t="b">
        <v>0</v>
      </c>
      <c r="F850" s="114" t="b">
        <v>1</v>
      </c>
      <c r="G850" s="114" t="b">
        <v>0</v>
      </c>
    </row>
    <row r="851" spans="1:7" ht="15">
      <c r="A851" s="114" t="s">
        <v>1928</v>
      </c>
      <c r="B851" s="114">
        <v>8</v>
      </c>
      <c r="C851" s="116">
        <v>0.007168982286388163</v>
      </c>
      <c r="D851" s="114" t="s">
        <v>1707</v>
      </c>
      <c r="E851" s="114" t="b">
        <v>0</v>
      </c>
      <c r="F851" s="114" t="b">
        <v>0</v>
      </c>
      <c r="G851" s="114" t="b">
        <v>0</v>
      </c>
    </row>
    <row r="852" spans="1:7" ht="15">
      <c r="A852" s="114" t="s">
        <v>1852</v>
      </c>
      <c r="B852" s="114">
        <v>8</v>
      </c>
      <c r="C852" s="116">
        <v>0.005088250214900385</v>
      </c>
      <c r="D852" s="114" t="s">
        <v>1707</v>
      </c>
      <c r="E852" s="114" t="b">
        <v>0</v>
      </c>
      <c r="F852" s="114" t="b">
        <v>0</v>
      </c>
      <c r="G852" s="114" t="b">
        <v>0</v>
      </c>
    </row>
    <row r="853" spans="1:7" ht="15">
      <c r="A853" s="114" t="s">
        <v>1840</v>
      </c>
      <c r="B853" s="114">
        <v>7</v>
      </c>
      <c r="C853" s="116">
        <v>0.0037836592976798855</v>
      </c>
      <c r="D853" s="114" t="s">
        <v>1707</v>
      </c>
      <c r="E853" s="114" t="b">
        <v>0</v>
      </c>
      <c r="F853" s="114" t="b">
        <v>0</v>
      </c>
      <c r="G853" s="114" t="b">
        <v>0</v>
      </c>
    </row>
    <row r="854" spans="1:7" ht="15">
      <c r="A854" s="114" t="s">
        <v>1755</v>
      </c>
      <c r="B854" s="114">
        <v>7</v>
      </c>
      <c r="C854" s="116">
        <v>0.0037836592976798855</v>
      </c>
      <c r="D854" s="114" t="s">
        <v>1707</v>
      </c>
      <c r="E854" s="114" t="b">
        <v>0</v>
      </c>
      <c r="F854" s="114" t="b">
        <v>0</v>
      </c>
      <c r="G854" s="114" t="b">
        <v>0</v>
      </c>
    </row>
    <row r="855" spans="1:7" ht="15">
      <c r="A855" s="114" t="s">
        <v>1892</v>
      </c>
      <c r="B855" s="114">
        <v>7</v>
      </c>
      <c r="C855" s="116">
        <v>0.0037836592976798855</v>
      </c>
      <c r="D855" s="114" t="s">
        <v>1707</v>
      </c>
      <c r="E855" s="114" t="b">
        <v>0</v>
      </c>
      <c r="F855" s="114" t="b">
        <v>0</v>
      </c>
      <c r="G855" s="114" t="b">
        <v>0</v>
      </c>
    </row>
    <row r="856" spans="1:7" ht="15">
      <c r="A856" s="114" t="s">
        <v>1893</v>
      </c>
      <c r="B856" s="114">
        <v>7</v>
      </c>
      <c r="C856" s="116">
        <v>0.004089951799257854</v>
      </c>
      <c r="D856" s="114" t="s">
        <v>1707</v>
      </c>
      <c r="E856" s="114" t="b">
        <v>0</v>
      </c>
      <c r="F856" s="114" t="b">
        <v>0</v>
      </c>
      <c r="G856" s="114" t="b">
        <v>0</v>
      </c>
    </row>
    <row r="857" spans="1:7" ht="15">
      <c r="A857" s="114" t="s">
        <v>1942</v>
      </c>
      <c r="B857" s="114">
        <v>6</v>
      </c>
      <c r="C857" s="116">
        <v>0.004686182757710019</v>
      </c>
      <c r="D857" s="114" t="s">
        <v>1707</v>
      </c>
      <c r="E857" s="114" t="b">
        <v>0</v>
      </c>
      <c r="F857" s="114" t="b">
        <v>0</v>
      </c>
      <c r="G857" s="114" t="b">
        <v>0</v>
      </c>
    </row>
    <row r="858" spans="1:7" ht="15">
      <c r="A858" s="114" t="s">
        <v>1825</v>
      </c>
      <c r="B858" s="114">
        <v>6</v>
      </c>
      <c r="C858" s="116">
        <v>0.004196226927873549</v>
      </c>
      <c r="D858" s="114" t="s">
        <v>1707</v>
      </c>
      <c r="E858" s="114" t="b">
        <v>0</v>
      </c>
      <c r="F858" s="114" t="b">
        <v>0</v>
      </c>
      <c r="G858" s="114" t="b">
        <v>0</v>
      </c>
    </row>
    <row r="859" spans="1:7" ht="15">
      <c r="A859" s="114" t="s">
        <v>1795</v>
      </c>
      <c r="B859" s="114">
        <v>6</v>
      </c>
      <c r="C859" s="116">
        <v>0.003816187661175289</v>
      </c>
      <c r="D859" s="114" t="s">
        <v>1707</v>
      </c>
      <c r="E859" s="114" t="b">
        <v>0</v>
      </c>
      <c r="F859" s="114" t="b">
        <v>1</v>
      </c>
      <c r="G859" s="114" t="b">
        <v>0</v>
      </c>
    </row>
    <row r="860" spans="1:7" ht="15">
      <c r="A860" s="114" t="s">
        <v>1948</v>
      </c>
      <c r="B860" s="114">
        <v>6</v>
      </c>
      <c r="C860" s="116">
        <v>0.005376736714791122</v>
      </c>
      <c r="D860" s="114" t="s">
        <v>1707</v>
      </c>
      <c r="E860" s="114" t="b">
        <v>0</v>
      </c>
      <c r="F860" s="114" t="b">
        <v>0</v>
      </c>
      <c r="G860" s="114" t="b">
        <v>0</v>
      </c>
    </row>
    <row r="861" spans="1:7" ht="15">
      <c r="A861" s="114" t="s">
        <v>1858</v>
      </c>
      <c r="B861" s="114">
        <v>6</v>
      </c>
      <c r="C861" s="116">
        <v>0.003505672970792446</v>
      </c>
      <c r="D861" s="114" t="s">
        <v>1707</v>
      </c>
      <c r="E861" s="114" t="b">
        <v>0</v>
      </c>
      <c r="F861" s="114" t="b">
        <v>0</v>
      </c>
      <c r="G861" s="114" t="b">
        <v>0</v>
      </c>
    </row>
    <row r="862" spans="1:7" ht="15">
      <c r="A862" s="114" t="s">
        <v>1845</v>
      </c>
      <c r="B862" s="114">
        <v>6</v>
      </c>
      <c r="C862" s="116">
        <v>0.006557246501708696</v>
      </c>
      <c r="D862" s="114" t="s">
        <v>1707</v>
      </c>
      <c r="E862" s="114" t="b">
        <v>0</v>
      </c>
      <c r="F862" s="114" t="b">
        <v>0</v>
      </c>
      <c r="G862" s="114" t="b">
        <v>0</v>
      </c>
    </row>
    <row r="863" spans="1:7" ht="15">
      <c r="A863" s="114" t="s">
        <v>1774</v>
      </c>
      <c r="B863" s="114">
        <v>6</v>
      </c>
      <c r="C863" s="116">
        <v>0.003816187661175289</v>
      </c>
      <c r="D863" s="114" t="s">
        <v>1707</v>
      </c>
      <c r="E863" s="114" t="b">
        <v>0</v>
      </c>
      <c r="F863" s="114" t="b">
        <v>1</v>
      </c>
      <c r="G863" s="114" t="b">
        <v>0</v>
      </c>
    </row>
    <row r="864" spans="1:7" ht="15">
      <c r="A864" s="114" t="s">
        <v>1808</v>
      </c>
      <c r="B864" s="114">
        <v>6</v>
      </c>
      <c r="C864" s="116">
        <v>0.003505672970792446</v>
      </c>
      <c r="D864" s="114" t="s">
        <v>1707</v>
      </c>
      <c r="E864" s="114" t="b">
        <v>0</v>
      </c>
      <c r="F864" s="114" t="b">
        <v>0</v>
      </c>
      <c r="G864" s="114" t="b">
        <v>0</v>
      </c>
    </row>
    <row r="865" spans="1:7" ht="15">
      <c r="A865" s="114" t="s">
        <v>1973</v>
      </c>
      <c r="B865" s="114">
        <v>6</v>
      </c>
      <c r="C865" s="116">
        <v>0.004686182757710019</v>
      </c>
      <c r="D865" s="114" t="s">
        <v>1707</v>
      </c>
      <c r="E865" s="114" t="b">
        <v>0</v>
      </c>
      <c r="F865" s="114" t="b">
        <v>0</v>
      </c>
      <c r="G865" s="114" t="b">
        <v>0</v>
      </c>
    </row>
    <row r="866" spans="1:7" ht="15">
      <c r="A866" s="114" t="s">
        <v>1785</v>
      </c>
      <c r="B866" s="114">
        <v>6</v>
      </c>
      <c r="C866" s="116">
        <v>0.006557246501708696</v>
      </c>
      <c r="D866" s="114" t="s">
        <v>1707</v>
      </c>
      <c r="E866" s="114" t="b">
        <v>0</v>
      </c>
      <c r="F866" s="114" t="b">
        <v>0</v>
      </c>
      <c r="G866" s="114" t="b">
        <v>0</v>
      </c>
    </row>
    <row r="867" spans="1:7" ht="15">
      <c r="A867" s="114" t="s">
        <v>1789</v>
      </c>
      <c r="B867" s="114">
        <v>6</v>
      </c>
      <c r="C867" s="116">
        <v>0.006557246501708696</v>
      </c>
      <c r="D867" s="114" t="s">
        <v>1707</v>
      </c>
      <c r="E867" s="114" t="b">
        <v>0</v>
      </c>
      <c r="F867" s="114" t="b">
        <v>0</v>
      </c>
      <c r="G867" s="114" t="b">
        <v>0</v>
      </c>
    </row>
    <row r="868" spans="1:7" ht="15">
      <c r="A868" s="114" t="s">
        <v>2021</v>
      </c>
      <c r="B868" s="114">
        <v>5</v>
      </c>
      <c r="C868" s="116">
        <v>0.0039051522980916827</v>
      </c>
      <c r="D868" s="114" t="s">
        <v>1707</v>
      </c>
      <c r="E868" s="114" t="b">
        <v>0</v>
      </c>
      <c r="F868" s="114" t="b">
        <v>0</v>
      </c>
      <c r="G868" s="114" t="b">
        <v>0</v>
      </c>
    </row>
    <row r="869" spans="1:7" ht="15">
      <c r="A869" s="114" t="s">
        <v>1745</v>
      </c>
      <c r="B869" s="114">
        <v>5</v>
      </c>
      <c r="C869" s="116">
        <v>0.003496855773227958</v>
      </c>
      <c r="D869" s="114" t="s">
        <v>1707</v>
      </c>
      <c r="E869" s="114" t="b">
        <v>0</v>
      </c>
      <c r="F869" s="114" t="b">
        <v>0</v>
      </c>
      <c r="G869" s="114" t="b">
        <v>0</v>
      </c>
    </row>
    <row r="870" spans="1:7" ht="15">
      <c r="A870" s="114" t="s">
        <v>2022</v>
      </c>
      <c r="B870" s="114">
        <v>5</v>
      </c>
      <c r="C870" s="116">
        <v>0.005464372084757247</v>
      </c>
      <c r="D870" s="114" t="s">
        <v>1707</v>
      </c>
      <c r="E870" s="114" t="b">
        <v>0</v>
      </c>
      <c r="F870" s="114" t="b">
        <v>0</v>
      </c>
      <c r="G870" s="114" t="b">
        <v>0</v>
      </c>
    </row>
    <row r="871" spans="1:7" ht="15">
      <c r="A871" s="114" t="s">
        <v>1902</v>
      </c>
      <c r="B871" s="114">
        <v>5</v>
      </c>
      <c r="C871" s="116">
        <v>0.003496855773227958</v>
      </c>
      <c r="D871" s="114" t="s">
        <v>1707</v>
      </c>
      <c r="E871" s="114" t="b">
        <v>0</v>
      </c>
      <c r="F871" s="114" t="b">
        <v>0</v>
      </c>
      <c r="G871" s="114" t="b">
        <v>0</v>
      </c>
    </row>
    <row r="872" spans="1:7" ht="15">
      <c r="A872" s="114" t="s">
        <v>1782</v>
      </c>
      <c r="B872" s="114">
        <v>5</v>
      </c>
      <c r="C872" s="116">
        <v>0.003496855773227958</v>
      </c>
      <c r="D872" s="114" t="s">
        <v>1707</v>
      </c>
      <c r="E872" s="114" t="b">
        <v>0</v>
      </c>
      <c r="F872" s="114" t="b">
        <v>0</v>
      </c>
      <c r="G872" s="114" t="b">
        <v>0</v>
      </c>
    </row>
    <row r="873" spans="1:7" ht="15">
      <c r="A873" s="114" t="s">
        <v>1838</v>
      </c>
      <c r="B873" s="114">
        <v>5</v>
      </c>
      <c r="C873" s="116">
        <v>0.003496855773227958</v>
      </c>
      <c r="D873" s="114" t="s">
        <v>1707</v>
      </c>
      <c r="E873" s="114" t="b">
        <v>0</v>
      </c>
      <c r="F873" s="114" t="b">
        <v>0</v>
      </c>
      <c r="G873" s="114" t="b">
        <v>0</v>
      </c>
    </row>
    <row r="874" spans="1:7" ht="15">
      <c r="A874" s="114" t="s">
        <v>1856</v>
      </c>
      <c r="B874" s="114">
        <v>5</v>
      </c>
      <c r="C874" s="116">
        <v>0.0039051522980916827</v>
      </c>
      <c r="D874" s="114" t="s">
        <v>1707</v>
      </c>
      <c r="E874" s="114" t="b">
        <v>0</v>
      </c>
      <c r="F874" s="114" t="b">
        <v>0</v>
      </c>
      <c r="G874" s="114" t="b">
        <v>0</v>
      </c>
    </row>
    <row r="875" spans="1:7" ht="15">
      <c r="A875" s="114" t="s">
        <v>1850</v>
      </c>
      <c r="B875" s="114">
        <v>5</v>
      </c>
      <c r="C875" s="116">
        <v>0.003180156384312741</v>
      </c>
      <c r="D875" s="114" t="s">
        <v>1707</v>
      </c>
      <c r="E875" s="114" t="b">
        <v>0</v>
      </c>
      <c r="F875" s="114" t="b">
        <v>0</v>
      </c>
      <c r="G875" s="114" t="b">
        <v>0</v>
      </c>
    </row>
    <row r="876" spans="1:7" ht="15">
      <c r="A876" s="114" t="s">
        <v>1821</v>
      </c>
      <c r="B876" s="114">
        <v>5</v>
      </c>
      <c r="C876" s="116">
        <v>0.003496855773227958</v>
      </c>
      <c r="D876" s="114" t="s">
        <v>1707</v>
      </c>
      <c r="E876" s="114" t="b">
        <v>0</v>
      </c>
      <c r="F876" s="114" t="b">
        <v>0</v>
      </c>
      <c r="G876" s="114" t="b">
        <v>0</v>
      </c>
    </row>
    <row r="877" spans="1:7" ht="15">
      <c r="A877" s="114" t="s">
        <v>1793</v>
      </c>
      <c r="B877" s="114">
        <v>5</v>
      </c>
      <c r="C877" s="116">
        <v>0.0039051522980916827</v>
      </c>
      <c r="D877" s="114" t="s">
        <v>1707</v>
      </c>
      <c r="E877" s="114" t="b">
        <v>0</v>
      </c>
      <c r="F877" s="114" t="b">
        <v>0</v>
      </c>
      <c r="G877" s="114" t="b">
        <v>0</v>
      </c>
    </row>
    <row r="878" spans="1:7" ht="15">
      <c r="A878" s="114" t="s">
        <v>1817</v>
      </c>
      <c r="B878" s="114">
        <v>5</v>
      </c>
      <c r="C878" s="116">
        <v>0.003180156384312741</v>
      </c>
      <c r="D878" s="114" t="s">
        <v>1707</v>
      </c>
      <c r="E878" s="114" t="b">
        <v>0</v>
      </c>
      <c r="F878" s="114" t="b">
        <v>0</v>
      </c>
      <c r="G878" s="114" t="b">
        <v>0</v>
      </c>
    </row>
    <row r="879" spans="1:7" ht="15">
      <c r="A879" s="114" t="s">
        <v>1763</v>
      </c>
      <c r="B879" s="114">
        <v>5</v>
      </c>
      <c r="C879" s="116">
        <v>0.005464372084757247</v>
      </c>
      <c r="D879" s="114" t="s">
        <v>1707</v>
      </c>
      <c r="E879" s="114" t="b">
        <v>0</v>
      </c>
      <c r="F879" s="114" t="b">
        <v>0</v>
      </c>
      <c r="G879" s="114" t="b">
        <v>0</v>
      </c>
    </row>
    <row r="880" spans="1:7" ht="15">
      <c r="A880" s="114" t="s">
        <v>1857</v>
      </c>
      <c r="B880" s="114">
        <v>5</v>
      </c>
      <c r="C880" s="116">
        <v>0.003180156384312741</v>
      </c>
      <c r="D880" s="114" t="s">
        <v>1707</v>
      </c>
      <c r="E880" s="114" t="b">
        <v>0</v>
      </c>
      <c r="F880" s="114" t="b">
        <v>0</v>
      </c>
      <c r="G880" s="114" t="b">
        <v>0</v>
      </c>
    </row>
    <row r="881" spans="1:7" ht="15">
      <c r="A881" s="114" t="s">
        <v>1790</v>
      </c>
      <c r="B881" s="114">
        <v>5</v>
      </c>
      <c r="C881" s="116">
        <v>0.003180156384312741</v>
      </c>
      <c r="D881" s="114" t="s">
        <v>1707</v>
      </c>
      <c r="E881" s="114" t="b">
        <v>0</v>
      </c>
      <c r="F881" s="114" t="b">
        <v>0</v>
      </c>
      <c r="G881" s="114" t="b">
        <v>0</v>
      </c>
    </row>
    <row r="882" spans="1:7" ht="15">
      <c r="A882" s="114" t="s">
        <v>1921</v>
      </c>
      <c r="B882" s="114">
        <v>5</v>
      </c>
      <c r="C882" s="116">
        <v>0.003180156384312741</v>
      </c>
      <c r="D882" s="114" t="s">
        <v>1707</v>
      </c>
      <c r="E882" s="114" t="b">
        <v>0</v>
      </c>
      <c r="F882" s="114" t="b">
        <v>0</v>
      </c>
      <c r="G882" s="114" t="b">
        <v>0</v>
      </c>
    </row>
    <row r="883" spans="1:7" ht="15">
      <c r="A883" s="114" t="s">
        <v>2104</v>
      </c>
      <c r="B883" s="114">
        <v>4</v>
      </c>
      <c r="C883" s="116">
        <v>0.004371497667805797</v>
      </c>
      <c r="D883" s="114" t="s">
        <v>1707</v>
      </c>
      <c r="E883" s="114" t="b">
        <v>0</v>
      </c>
      <c r="F883" s="114" t="b">
        <v>0</v>
      </c>
      <c r="G883" s="114" t="b">
        <v>0</v>
      </c>
    </row>
    <row r="884" spans="1:7" ht="15">
      <c r="A884" s="114" t="s">
        <v>1831</v>
      </c>
      <c r="B884" s="114">
        <v>4</v>
      </c>
      <c r="C884" s="116">
        <v>0.004371497667805797</v>
      </c>
      <c r="D884" s="114" t="s">
        <v>1707</v>
      </c>
      <c r="E884" s="114" t="b">
        <v>0</v>
      </c>
      <c r="F884" s="114" t="b">
        <v>0</v>
      </c>
      <c r="G884" s="114" t="b">
        <v>0</v>
      </c>
    </row>
    <row r="885" spans="1:7" ht="15">
      <c r="A885" s="114" t="s">
        <v>2105</v>
      </c>
      <c r="B885" s="114">
        <v>4</v>
      </c>
      <c r="C885" s="116">
        <v>0.004371497667805797</v>
      </c>
      <c r="D885" s="114" t="s">
        <v>1707</v>
      </c>
      <c r="E885" s="114" t="b">
        <v>0</v>
      </c>
      <c r="F885" s="114" t="b">
        <v>0</v>
      </c>
      <c r="G885" s="114" t="b">
        <v>0</v>
      </c>
    </row>
    <row r="886" spans="1:7" ht="15">
      <c r="A886" s="114" t="s">
        <v>2087</v>
      </c>
      <c r="B886" s="114">
        <v>4</v>
      </c>
      <c r="C886" s="116">
        <v>0.0035844911431940816</v>
      </c>
      <c r="D886" s="114" t="s">
        <v>1707</v>
      </c>
      <c r="E886" s="114" t="b">
        <v>0</v>
      </c>
      <c r="F886" s="114" t="b">
        <v>0</v>
      </c>
      <c r="G886" s="114" t="b">
        <v>0</v>
      </c>
    </row>
    <row r="887" spans="1:7" ht="15">
      <c r="A887" s="114" t="s">
        <v>1767</v>
      </c>
      <c r="B887" s="114">
        <v>4</v>
      </c>
      <c r="C887" s="116">
        <v>0.0035844911431940816</v>
      </c>
      <c r="D887" s="114" t="s">
        <v>1707</v>
      </c>
      <c r="E887" s="114" t="b">
        <v>0</v>
      </c>
      <c r="F887" s="114" t="b">
        <v>0</v>
      </c>
      <c r="G887" s="114" t="b">
        <v>0</v>
      </c>
    </row>
    <row r="888" spans="1:7" ht="15">
      <c r="A888" s="114" t="s">
        <v>2088</v>
      </c>
      <c r="B888" s="114">
        <v>4</v>
      </c>
      <c r="C888" s="116">
        <v>0.004371497667805797</v>
      </c>
      <c r="D888" s="114" t="s">
        <v>1707</v>
      </c>
      <c r="E888" s="114" t="b">
        <v>0</v>
      </c>
      <c r="F888" s="114" t="b">
        <v>0</v>
      </c>
      <c r="G888" s="114" t="b">
        <v>0</v>
      </c>
    </row>
    <row r="889" spans="1:7" ht="15">
      <c r="A889" s="114" t="s">
        <v>1803</v>
      </c>
      <c r="B889" s="114">
        <v>4</v>
      </c>
      <c r="C889" s="116">
        <v>0.003124121838473346</v>
      </c>
      <c r="D889" s="114" t="s">
        <v>1707</v>
      </c>
      <c r="E889" s="114" t="b">
        <v>0</v>
      </c>
      <c r="F889" s="114" t="b">
        <v>0</v>
      </c>
      <c r="G889" s="114" t="b">
        <v>0</v>
      </c>
    </row>
    <row r="890" spans="1:7" ht="15">
      <c r="A890" s="114" t="s">
        <v>1903</v>
      </c>
      <c r="B890" s="114">
        <v>4</v>
      </c>
      <c r="C890" s="116">
        <v>0.004371497667805797</v>
      </c>
      <c r="D890" s="114" t="s">
        <v>1707</v>
      </c>
      <c r="E890" s="114" t="b">
        <v>0</v>
      </c>
      <c r="F890" s="114" t="b">
        <v>0</v>
      </c>
      <c r="G890" s="114" t="b">
        <v>0</v>
      </c>
    </row>
    <row r="891" spans="1:7" ht="15">
      <c r="A891" s="114" t="s">
        <v>2015</v>
      </c>
      <c r="B891" s="114">
        <v>4</v>
      </c>
      <c r="C891" s="116">
        <v>0.004371497667805797</v>
      </c>
      <c r="D891" s="114" t="s">
        <v>1707</v>
      </c>
      <c r="E891" s="114" t="b">
        <v>1</v>
      </c>
      <c r="F891" s="114" t="b">
        <v>0</v>
      </c>
      <c r="G891" s="114" t="b">
        <v>0</v>
      </c>
    </row>
    <row r="892" spans="1:7" ht="15">
      <c r="A892" s="114" t="s">
        <v>1871</v>
      </c>
      <c r="B892" s="114">
        <v>4</v>
      </c>
      <c r="C892" s="116">
        <v>0.004371497667805797</v>
      </c>
      <c r="D892" s="114" t="s">
        <v>1707</v>
      </c>
      <c r="E892" s="114" t="b">
        <v>0</v>
      </c>
      <c r="F892" s="114" t="b">
        <v>0</v>
      </c>
      <c r="G892" s="114" t="b">
        <v>0</v>
      </c>
    </row>
    <row r="893" spans="1:7" ht="15">
      <c r="A893" s="114" t="s">
        <v>2089</v>
      </c>
      <c r="B893" s="114">
        <v>4</v>
      </c>
      <c r="C893" s="116">
        <v>0.004371497667805797</v>
      </c>
      <c r="D893" s="114" t="s">
        <v>1707</v>
      </c>
      <c r="E893" s="114" t="b">
        <v>0</v>
      </c>
      <c r="F893" s="114" t="b">
        <v>0</v>
      </c>
      <c r="G893" s="114" t="b">
        <v>0</v>
      </c>
    </row>
    <row r="894" spans="1:7" ht="15">
      <c r="A894" s="114" t="s">
        <v>1968</v>
      </c>
      <c r="B894" s="114">
        <v>4</v>
      </c>
      <c r="C894" s="116">
        <v>0.0027974846185823657</v>
      </c>
      <c r="D894" s="114" t="s">
        <v>1707</v>
      </c>
      <c r="E894" s="114" t="b">
        <v>0</v>
      </c>
      <c r="F894" s="114" t="b">
        <v>0</v>
      </c>
      <c r="G894" s="114" t="b">
        <v>0</v>
      </c>
    </row>
    <row r="895" spans="1:7" ht="15">
      <c r="A895" s="114" t="s">
        <v>1846</v>
      </c>
      <c r="B895" s="114">
        <v>4</v>
      </c>
      <c r="C895" s="116">
        <v>0.004371497667805797</v>
      </c>
      <c r="D895" s="114" t="s">
        <v>1707</v>
      </c>
      <c r="E895" s="114" t="b">
        <v>0</v>
      </c>
      <c r="F895" s="114" t="b">
        <v>0</v>
      </c>
      <c r="G895" s="114" t="b">
        <v>0</v>
      </c>
    </row>
    <row r="896" spans="1:7" ht="15">
      <c r="A896" s="114" t="s">
        <v>1989</v>
      </c>
      <c r="B896" s="114">
        <v>3</v>
      </c>
      <c r="C896" s="116">
        <v>0.003278623250854348</v>
      </c>
      <c r="D896" s="114" t="s">
        <v>1707</v>
      </c>
      <c r="E896" s="114" t="b">
        <v>0</v>
      </c>
      <c r="F896" s="114" t="b">
        <v>0</v>
      </c>
      <c r="G896" s="114" t="b">
        <v>0</v>
      </c>
    </row>
    <row r="897" spans="1:7" ht="15">
      <c r="A897" s="114" t="s">
        <v>1990</v>
      </c>
      <c r="B897" s="114">
        <v>3</v>
      </c>
      <c r="C897" s="116">
        <v>0.003278623250854348</v>
      </c>
      <c r="D897" s="114" t="s">
        <v>1707</v>
      </c>
      <c r="E897" s="114" t="b">
        <v>0</v>
      </c>
      <c r="F897" s="114" t="b">
        <v>0</v>
      </c>
      <c r="G897" s="114" t="b">
        <v>0</v>
      </c>
    </row>
    <row r="898" spans="1:7" ht="15">
      <c r="A898" s="114" t="s">
        <v>1865</v>
      </c>
      <c r="B898" s="114">
        <v>3</v>
      </c>
      <c r="C898" s="116">
        <v>0.0023430913788550097</v>
      </c>
      <c r="D898" s="114" t="s">
        <v>1707</v>
      </c>
      <c r="E898" s="114" t="b">
        <v>0</v>
      </c>
      <c r="F898" s="114" t="b">
        <v>0</v>
      </c>
      <c r="G898" s="114" t="b">
        <v>0</v>
      </c>
    </row>
    <row r="899" spans="1:7" ht="15">
      <c r="A899" s="114" t="s">
        <v>1964</v>
      </c>
      <c r="B899" s="114">
        <v>3</v>
      </c>
      <c r="C899" s="116">
        <v>0.003278623250854348</v>
      </c>
      <c r="D899" s="114" t="s">
        <v>1707</v>
      </c>
      <c r="E899" s="114" t="b">
        <v>0</v>
      </c>
      <c r="F899" s="114" t="b">
        <v>0</v>
      </c>
      <c r="G899" s="114" t="b">
        <v>0</v>
      </c>
    </row>
    <row r="900" spans="1:7" ht="15">
      <c r="A900" s="114" t="s">
        <v>1935</v>
      </c>
      <c r="B900" s="114">
        <v>3</v>
      </c>
      <c r="C900" s="116">
        <v>0.0023430913788550097</v>
      </c>
      <c r="D900" s="114" t="s">
        <v>1707</v>
      </c>
      <c r="E900" s="114" t="b">
        <v>0</v>
      </c>
      <c r="F900" s="114" t="b">
        <v>0</v>
      </c>
      <c r="G900" s="114" t="b">
        <v>0</v>
      </c>
    </row>
    <row r="901" spans="1:7" ht="15">
      <c r="A901" s="114" t="s">
        <v>2248</v>
      </c>
      <c r="B901" s="114">
        <v>3</v>
      </c>
      <c r="C901" s="116">
        <v>0.003278623250854348</v>
      </c>
      <c r="D901" s="114" t="s">
        <v>1707</v>
      </c>
      <c r="E901" s="114" t="b">
        <v>0</v>
      </c>
      <c r="F901" s="114" t="b">
        <v>0</v>
      </c>
      <c r="G901" s="114" t="b">
        <v>0</v>
      </c>
    </row>
    <row r="902" spans="1:7" ht="15">
      <c r="A902" s="114" t="s">
        <v>1777</v>
      </c>
      <c r="B902" s="114">
        <v>3</v>
      </c>
      <c r="C902" s="116">
        <v>0.0023430913788550097</v>
      </c>
      <c r="D902" s="114" t="s">
        <v>1707</v>
      </c>
      <c r="E902" s="114" t="b">
        <v>0</v>
      </c>
      <c r="F902" s="114" t="b">
        <v>0</v>
      </c>
      <c r="G902" s="114" t="b">
        <v>0</v>
      </c>
    </row>
    <row r="903" spans="1:7" ht="15">
      <c r="A903" s="114" t="s">
        <v>1818</v>
      </c>
      <c r="B903" s="114">
        <v>3</v>
      </c>
      <c r="C903" s="116">
        <v>0.0023430913788550097</v>
      </c>
      <c r="D903" s="114" t="s">
        <v>1707</v>
      </c>
      <c r="E903" s="114" t="b">
        <v>0</v>
      </c>
      <c r="F903" s="114" t="b">
        <v>0</v>
      </c>
      <c r="G903" s="114" t="b">
        <v>0</v>
      </c>
    </row>
    <row r="904" spans="1:7" ht="15">
      <c r="A904" s="114" t="s">
        <v>2247</v>
      </c>
      <c r="B904" s="114">
        <v>3</v>
      </c>
      <c r="C904" s="116">
        <v>0.003278623250854348</v>
      </c>
      <c r="D904" s="114" t="s">
        <v>1707</v>
      </c>
      <c r="E904" s="114" t="b">
        <v>0</v>
      </c>
      <c r="F904" s="114" t="b">
        <v>0</v>
      </c>
      <c r="G904" s="114" t="b">
        <v>0</v>
      </c>
    </row>
    <row r="905" spans="1:7" ht="15">
      <c r="A905" s="114" t="s">
        <v>2008</v>
      </c>
      <c r="B905" s="114">
        <v>3</v>
      </c>
      <c r="C905" s="116">
        <v>0.002688368357395561</v>
      </c>
      <c r="D905" s="114" t="s">
        <v>1707</v>
      </c>
      <c r="E905" s="114" t="b">
        <v>0</v>
      </c>
      <c r="F905" s="114" t="b">
        <v>0</v>
      </c>
      <c r="G905" s="114" t="b">
        <v>0</v>
      </c>
    </row>
    <row r="906" spans="1:7" ht="15">
      <c r="A906" s="114" t="s">
        <v>1916</v>
      </c>
      <c r="B906" s="114">
        <v>3</v>
      </c>
      <c r="C906" s="116">
        <v>0.003278623250854348</v>
      </c>
      <c r="D906" s="114" t="s">
        <v>1707</v>
      </c>
      <c r="E906" s="114" t="b">
        <v>0</v>
      </c>
      <c r="F906" s="114" t="b">
        <v>0</v>
      </c>
      <c r="G906" s="114" t="b">
        <v>0</v>
      </c>
    </row>
    <row r="907" spans="1:7" ht="15">
      <c r="A907" s="114" t="s">
        <v>1812</v>
      </c>
      <c r="B907" s="114">
        <v>3</v>
      </c>
      <c r="C907" s="116">
        <v>0.002688368357395561</v>
      </c>
      <c r="D907" s="114" t="s">
        <v>1707</v>
      </c>
      <c r="E907" s="114" t="b">
        <v>0</v>
      </c>
      <c r="F907" s="114" t="b">
        <v>0</v>
      </c>
      <c r="G907" s="114" t="b">
        <v>0</v>
      </c>
    </row>
    <row r="908" spans="1:7" ht="15">
      <c r="A908" s="114" t="s">
        <v>1801</v>
      </c>
      <c r="B908" s="114">
        <v>3</v>
      </c>
      <c r="C908" s="116">
        <v>0.002688368357395561</v>
      </c>
      <c r="D908" s="114" t="s">
        <v>1707</v>
      </c>
      <c r="E908" s="114" t="b">
        <v>0</v>
      </c>
      <c r="F908" s="114" t="b">
        <v>0</v>
      </c>
      <c r="G908" s="114" t="b">
        <v>0</v>
      </c>
    </row>
    <row r="909" spans="1:7" ht="15">
      <c r="A909" s="114" t="s">
        <v>2246</v>
      </c>
      <c r="B909" s="114">
        <v>3</v>
      </c>
      <c r="C909" s="116">
        <v>0.003278623250854348</v>
      </c>
      <c r="D909" s="114" t="s">
        <v>1707</v>
      </c>
      <c r="E909" s="114" t="b">
        <v>0</v>
      </c>
      <c r="F909" s="114" t="b">
        <v>0</v>
      </c>
      <c r="G909" s="114" t="b">
        <v>0</v>
      </c>
    </row>
    <row r="910" spans="1:7" ht="15">
      <c r="A910" s="114" t="s">
        <v>2243</v>
      </c>
      <c r="B910" s="114">
        <v>3</v>
      </c>
      <c r="C910" s="116">
        <v>0.003278623250854348</v>
      </c>
      <c r="D910" s="114" t="s">
        <v>1707</v>
      </c>
      <c r="E910" s="114" t="b">
        <v>0</v>
      </c>
      <c r="F910" s="114" t="b">
        <v>0</v>
      </c>
      <c r="G910" s="114" t="b">
        <v>0</v>
      </c>
    </row>
    <row r="911" spans="1:7" ht="15">
      <c r="A911" s="114" t="s">
        <v>2244</v>
      </c>
      <c r="B911" s="114">
        <v>3</v>
      </c>
      <c r="C911" s="116">
        <v>0.003278623250854348</v>
      </c>
      <c r="D911" s="114" t="s">
        <v>1707</v>
      </c>
      <c r="E911" s="114" t="b">
        <v>0</v>
      </c>
      <c r="F911" s="114" t="b">
        <v>0</v>
      </c>
      <c r="G911" s="114" t="b">
        <v>0</v>
      </c>
    </row>
    <row r="912" spans="1:7" ht="15">
      <c r="A912" s="114" t="s">
        <v>1878</v>
      </c>
      <c r="B912" s="114">
        <v>3</v>
      </c>
      <c r="C912" s="116">
        <v>0.002688368357395561</v>
      </c>
      <c r="D912" s="114" t="s">
        <v>1707</v>
      </c>
      <c r="E912" s="114" t="b">
        <v>0</v>
      </c>
      <c r="F912" s="114" t="b">
        <v>0</v>
      </c>
      <c r="G912" s="114" t="b">
        <v>0</v>
      </c>
    </row>
    <row r="913" spans="1:7" ht="15">
      <c r="A913" s="114" t="s">
        <v>1787</v>
      </c>
      <c r="B913" s="114">
        <v>3</v>
      </c>
      <c r="C913" s="116">
        <v>0.0023430913788550097</v>
      </c>
      <c r="D913" s="114" t="s">
        <v>1707</v>
      </c>
      <c r="E913" s="114" t="b">
        <v>0</v>
      </c>
      <c r="F913" s="114" t="b">
        <v>0</v>
      </c>
      <c r="G913" s="114" t="b">
        <v>0</v>
      </c>
    </row>
    <row r="914" spans="1:7" ht="15">
      <c r="A914" s="114" t="s">
        <v>2080</v>
      </c>
      <c r="B914" s="114">
        <v>3</v>
      </c>
      <c r="C914" s="116">
        <v>0.002688368357395561</v>
      </c>
      <c r="D914" s="114" t="s">
        <v>1707</v>
      </c>
      <c r="E914" s="114" t="b">
        <v>0</v>
      </c>
      <c r="F914" s="114" t="b">
        <v>0</v>
      </c>
      <c r="G914" s="114" t="b">
        <v>0</v>
      </c>
    </row>
    <row r="915" spans="1:7" ht="15">
      <c r="A915" s="114" t="s">
        <v>1875</v>
      </c>
      <c r="B915" s="114">
        <v>3</v>
      </c>
      <c r="C915" s="116">
        <v>0.002688368357395561</v>
      </c>
      <c r="D915" s="114" t="s">
        <v>1707</v>
      </c>
      <c r="E915" s="114" t="b">
        <v>0</v>
      </c>
      <c r="F915" s="114" t="b">
        <v>0</v>
      </c>
      <c r="G915" s="114" t="b">
        <v>0</v>
      </c>
    </row>
    <row r="916" spans="1:7" ht="15">
      <c r="A916" s="114" t="s">
        <v>1891</v>
      </c>
      <c r="B916" s="114">
        <v>3</v>
      </c>
      <c r="C916" s="116">
        <v>0.003278623250854348</v>
      </c>
      <c r="D916" s="114" t="s">
        <v>1707</v>
      </c>
      <c r="E916" s="114" t="b">
        <v>0</v>
      </c>
      <c r="F916" s="114" t="b">
        <v>0</v>
      </c>
      <c r="G916" s="114" t="b">
        <v>0</v>
      </c>
    </row>
    <row r="917" spans="1:7" ht="15">
      <c r="A917" s="114" t="s">
        <v>1835</v>
      </c>
      <c r="B917" s="114">
        <v>3</v>
      </c>
      <c r="C917" s="116">
        <v>0.003278623250854348</v>
      </c>
      <c r="D917" s="114" t="s">
        <v>1707</v>
      </c>
      <c r="E917" s="114" t="b">
        <v>0</v>
      </c>
      <c r="F917" s="114" t="b">
        <v>0</v>
      </c>
      <c r="G917" s="114" t="b">
        <v>0</v>
      </c>
    </row>
    <row r="918" spans="1:7" ht="15">
      <c r="A918" s="114" t="s">
        <v>2213</v>
      </c>
      <c r="B918" s="114">
        <v>3</v>
      </c>
      <c r="C918" s="116">
        <v>0.003278623250854348</v>
      </c>
      <c r="D918" s="114" t="s">
        <v>1707</v>
      </c>
      <c r="E918" s="114" t="b">
        <v>0</v>
      </c>
      <c r="F918" s="114" t="b">
        <v>0</v>
      </c>
      <c r="G918" s="114" t="b">
        <v>0</v>
      </c>
    </row>
    <row r="919" spans="1:7" ht="15">
      <c r="A919" s="114" t="s">
        <v>1947</v>
      </c>
      <c r="B919" s="114">
        <v>3</v>
      </c>
      <c r="C919" s="116">
        <v>0.0023430913788550097</v>
      </c>
      <c r="D919" s="114" t="s">
        <v>1707</v>
      </c>
      <c r="E919" s="114" t="b">
        <v>0</v>
      </c>
      <c r="F919" s="114" t="b">
        <v>0</v>
      </c>
      <c r="G919" s="114" t="b">
        <v>0</v>
      </c>
    </row>
    <row r="920" spans="1:7" ht="15">
      <c r="A920" s="114" t="s">
        <v>1758</v>
      </c>
      <c r="B920" s="114">
        <v>3</v>
      </c>
      <c r="C920" s="116">
        <v>0.002688368357395561</v>
      </c>
      <c r="D920" s="114" t="s">
        <v>1707</v>
      </c>
      <c r="E920" s="114" t="b">
        <v>0</v>
      </c>
      <c r="F920" s="114" t="b">
        <v>0</v>
      </c>
      <c r="G920" s="114" t="b">
        <v>0</v>
      </c>
    </row>
    <row r="921" spans="1:7" ht="15">
      <c r="A921" s="114" t="s">
        <v>2216</v>
      </c>
      <c r="B921" s="114">
        <v>3</v>
      </c>
      <c r="C921" s="116">
        <v>0.003278623250854348</v>
      </c>
      <c r="D921" s="114" t="s">
        <v>1707</v>
      </c>
      <c r="E921" s="114" t="b">
        <v>0</v>
      </c>
      <c r="F921" s="114" t="b">
        <v>0</v>
      </c>
      <c r="G921" s="114" t="b">
        <v>0</v>
      </c>
    </row>
    <row r="922" spans="1:7" ht="15">
      <c r="A922" s="114" t="s">
        <v>2217</v>
      </c>
      <c r="B922" s="114">
        <v>3</v>
      </c>
      <c r="C922" s="116">
        <v>0.003278623250854348</v>
      </c>
      <c r="D922" s="114" t="s">
        <v>1707</v>
      </c>
      <c r="E922" s="114" t="b">
        <v>0</v>
      </c>
      <c r="F922" s="114" t="b">
        <v>0</v>
      </c>
      <c r="G922" s="114" t="b">
        <v>0</v>
      </c>
    </row>
    <row r="923" spans="1:7" ht="15">
      <c r="A923" s="114" t="s">
        <v>2218</v>
      </c>
      <c r="B923" s="114">
        <v>3</v>
      </c>
      <c r="C923" s="116">
        <v>0.003278623250854348</v>
      </c>
      <c r="D923" s="114" t="s">
        <v>1707</v>
      </c>
      <c r="E923" s="114" t="b">
        <v>0</v>
      </c>
      <c r="F923" s="114" t="b">
        <v>0</v>
      </c>
      <c r="G923" s="114" t="b">
        <v>0</v>
      </c>
    </row>
    <row r="924" spans="1:7" ht="15">
      <c r="A924" s="114" t="s">
        <v>1939</v>
      </c>
      <c r="B924" s="114">
        <v>3</v>
      </c>
      <c r="C924" s="116">
        <v>0.0023430913788550097</v>
      </c>
      <c r="D924" s="114" t="s">
        <v>1707</v>
      </c>
      <c r="E924" s="114" t="b">
        <v>1</v>
      </c>
      <c r="F924" s="114" t="b">
        <v>0</v>
      </c>
      <c r="G924" s="114" t="b">
        <v>0</v>
      </c>
    </row>
    <row r="925" spans="1:7" ht="15">
      <c r="A925" s="114" t="s">
        <v>2215</v>
      </c>
      <c r="B925" s="114">
        <v>3</v>
      </c>
      <c r="C925" s="116">
        <v>0.003278623250854348</v>
      </c>
      <c r="D925" s="114" t="s">
        <v>1707</v>
      </c>
      <c r="E925" s="114" t="b">
        <v>0</v>
      </c>
      <c r="F925" s="114" t="b">
        <v>0</v>
      </c>
      <c r="G925" s="114" t="b">
        <v>0</v>
      </c>
    </row>
    <row r="926" spans="1:7" ht="15">
      <c r="A926" s="114" t="s">
        <v>1824</v>
      </c>
      <c r="B926" s="114">
        <v>3</v>
      </c>
      <c r="C926" s="116">
        <v>0.002688368357395561</v>
      </c>
      <c r="D926" s="114" t="s">
        <v>1707</v>
      </c>
      <c r="E926" s="114" t="b">
        <v>0</v>
      </c>
      <c r="F926" s="114" t="b">
        <v>0</v>
      </c>
      <c r="G926" s="114" t="b">
        <v>0</v>
      </c>
    </row>
    <row r="927" spans="1:7" ht="15">
      <c r="A927" s="114" t="s">
        <v>1757</v>
      </c>
      <c r="B927" s="114">
        <v>3</v>
      </c>
      <c r="C927" s="116">
        <v>0.003278623250854348</v>
      </c>
      <c r="D927" s="114" t="s">
        <v>1707</v>
      </c>
      <c r="E927" s="114" t="b">
        <v>0</v>
      </c>
      <c r="F927" s="114" t="b">
        <v>0</v>
      </c>
      <c r="G927" s="114" t="b">
        <v>0</v>
      </c>
    </row>
    <row r="928" spans="1:7" ht="15">
      <c r="A928" s="114" t="s">
        <v>1987</v>
      </c>
      <c r="B928" s="114">
        <v>2</v>
      </c>
      <c r="C928" s="116">
        <v>0.0017922455715970408</v>
      </c>
      <c r="D928" s="114" t="s">
        <v>1707</v>
      </c>
      <c r="E928" s="114" t="b">
        <v>0</v>
      </c>
      <c r="F928" s="114" t="b">
        <v>0</v>
      </c>
      <c r="G928" s="114" t="b">
        <v>0</v>
      </c>
    </row>
    <row r="929" spans="1:7" ht="15">
      <c r="A929" s="114" t="s">
        <v>1938</v>
      </c>
      <c r="B929" s="114">
        <v>2</v>
      </c>
      <c r="C929" s="116">
        <v>0.0017922455715970408</v>
      </c>
      <c r="D929" s="114" t="s">
        <v>1707</v>
      </c>
      <c r="E929" s="114" t="b">
        <v>0</v>
      </c>
      <c r="F929" s="114" t="b">
        <v>0</v>
      </c>
      <c r="G929" s="114" t="b">
        <v>0</v>
      </c>
    </row>
    <row r="930" spans="1:7" ht="15">
      <c r="A930" s="114" t="s">
        <v>1980</v>
      </c>
      <c r="B930" s="114">
        <v>2</v>
      </c>
      <c r="C930" s="116">
        <v>0.0021857488339028985</v>
      </c>
      <c r="D930" s="114" t="s">
        <v>1707</v>
      </c>
      <c r="E930" s="114" t="b">
        <v>0</v>
      </c>
      <c r="F930" s="114" t="b">
        <v>0</v>
      </c>
      <c r="G930" s="114" t="b">
        <v>0</v>
      </c>
    </row>
    <row r="931" spans="1:7" ht="15">
      <c r="A931" s="114" t="s">
        <v>1775</v>
      </c>
      <c r="B931" s="114">
        <v>2</v>
      </c>
      <c r="C931" s="116">
        <v>0.0017922455715970408</v>
      </c>
      <c r="D931" s="114" t="s">
        <v>1707</v>
      </c>
      <c r="E931" s="114" t="b">
        <v>0</v>
      </c>
      <c r="F931" s="114" t="b">
        <v>0</v>
      </c>
      <c r="G931" s="114" t="b">
        <v>0</v>
      </c>
    </row>
    <row r="932" spans="1:7" ht="15">
      <c r="A932" s="114" t="s">
        <v>1761</v>
      </c>
      <c r="B932" s="114">
        <v>2</v>
      </c>
      <c r="C932" s="116">
        <v>0.0017922455715970408</v>
      </c>
      <c r="D932" s="114" t="s">
        <v>1707</v>
      </c>
      <c r="E932" s="114" t="b">
        <v>0</v>
      </c>
      <c r="F932" s="114" t="b">
        <v>0</v>
      </c>
      <c r="G932" s="114" t="b">
        <v>0</v>
      </c>
    </row>
    <row r="933" spans="1:7" ht="15">
      <c r="A933" s="114" t="s">
        <v>1764</v>
      </c>
      <c r="B933" s="114">
        <v>2</v>
      </c>
      <c r="C933" s="116">
        <v>0.0017922455715970408</v>
      </c>
      <c r="D933" s="114" t="s">
        <v>1707</v>
      </c>
      <c r="E933" s="114" t="b">
        <v>0</v>
      </c>
      <c r="F933" s="114" t="b">
        <v>0</v>
      </c>
      <c r="G933" s="114" t="b">
        <v>0</v>
      </c>
    </row>
    <row r="934" spans="1:7" ht="15">
      <c r="A934" s="114" t="s">
        <v>2499</v>
      </c>
      <c r="B934" s="114">
        <v>2</v>
      </c>
      <c r="C934" s="116">
        <v>0.0021857488339028985</v>
      </c>
      <c r="D934" s="114" t="s">
        <v>1707</v>
      </c>
      <c r="E934" s="114" t="b">
        <v>0</v>
      </c>
      <c r="F934" s="114" t="b">
        <v>0</v>
      </c>
      <c r="G934" s="114" t="b">
        <v>0</v>
      </c>
    </row>
    <row r="935" spans="1:7" ht="15">
      <c r="A935" s="114" t="s">
        <v>1806</v>
      </c>
      <c r="B935" s="114">
        <v>2</v>
      </c>
      <c r="C935" s="116">
        <v>0.0017922455715970408</v>
      </c>
      <c r="D935" s="114" t="s">
        <v>1707</v>
      </c>
      <c r="E935" s="114" t="b">
        <v>0</v>
      </c>
      <c r="F935" s="114" t="b">
        <v>0</v>
      </c>
      <c r="G935" s="114" t="b">
        <v>0</v>
      </c>
    </row>
    <row r="936" spans="1:7" ht="15">
      <c r="A936" s="114" t="s">
        <v>2394</v>
      </c>
      <c r="B936" s="114">
        <v>2</v>
      </c>
      <c r="C936" s="116">
        <v>0.0017922455715970408</v>
      </c>
      <c r="D936" s="114" t="s">
        <v>1707</v>
      </c>
      <c r="E936" s="114" t="b">
        <v>0</v>
      </c>
      <c r="F936" s="114" t="b">
        <v>0</v>
      </c>
      <c r="G936" s="114" t="b">
        <v>0</v>
      </c>
    </row>
    <row r="937" spans="1:7" ht="15">
      <c r="A937" s="114" t="s">
        <v>2498</v>
      </c>
      <c r="B937" s="114">
        <v>2</v>
      </c>
      <c r="C937" s="116">
        <v>0.0021857488339028985</v>
      </c>
      <c r="D937" s="114" t="s">
        <v>1707</v>
      </c>
      <c r="E937" s="114" t="b">
        <v>0</v>
      </c>
      <c r="F937" s="114" t="b">
        <v>0</v>
      </c>
      <c r="G937" s="114" t="b">
        <v>0</v>
      </c>
    </row>
    <row r="938" spans="1:7" ht="15">
      <c r="A938" s="114" t="s">
        <v>2497</v>
      </c>
      <c r="B938" s="114">
        <v>2</v>
      </c>
      <c r="C938" s="116">
        <v>0.0017922455715970408</v>
      </c>
      <c r="D938" s="114" t="s">
        <v>1707</v>
      </c>
      <c r="E938" s="114" t="b">
        <v>0</v>
      </c>
      <c r="F938" s="114" t="b">
        <v>0</v>
      </c>
      <c r="G938" s="114" t="b">
        <v>0</v>
      </c>
    </row>
    <row r="939" spans="1:7" ht="15">
      <c r="A939" s="114" t="s">
        <v>2211</v>
      </c>
      <c r="B939" s="114">
        <v>2</v>
      </c>
      <c r="C939" s="116">
        <v>0.0017922455715970408</v>
      </c>
      <c r="D939" s="114" t="s">
        <v>1707</v>
      </c>
      <c r="E939" s="114" t="b">
        <v>0</v>
      </c>
      <c r="F939" s="114" t="b">
        <v>0</v>
      </c>
      <c r="G939" s="114" t="b">
        <v>0</v>
      </c>
    </row>
    <row r="940" spans="1:7" ht="15">
      <c r="A940" s="114" t="s">
        <v>2038</v>
      </c>
      <c r="B940" s="114">
        <v>2</v>
      </c>
      <c r="C940" s="116">
        <v>0.0017922455715970408</v>
      </c>
      <c r="D940" s="114" t="s">
        <v>1707</v>
      </c>
      <c r="E940" s="114" t="b">
        <v>0</v>
      </c>
      <c r="F940" s="114" t="b">
        <v>1</v>
      </c>
      <c r="G940" s="114" t="b">
        <v>0</v>
      </c>
    </row>
    <row r="941" spans="1:7" ht="15">
      <c r="A941" s="114" t="s">
        <v>2449</v>
      </c>
      <c r="B941" s="114">
        <v>2</v>
      </c>
      <c r="C941" s="116">
        <v>0.0017922455715970408</v>
      </c>
      <c r="D941" s="114" t="s">
        <v>1707</v>
      </c>
      <c r="E941" s="114" t="b">
        <v>0</v>
      </c>
      <c r="F941" s="114" t="b">
        <v>0</v>
      </c>
      <c r="G941" s="114" t="b">
        <v>0</v>
      </c>
    </row>
    <row r="942" spans="1:7" ht="15">
      <c r="A942" s="114" t="s">
        <v>2495</v>
      </c>
      <c r="B942" s="114">
        <v>2</v>
      </c>
      <c r="C942" s="116">
        <v>0.0021857488339028985</v>
      </c>
      <c r="D942" s="114" t="s">
        <v>1707</v>
      </c>
      <c r="E942" s="114" t="b">
        <v>0</v>
      </c>
      <c r="F942" s="114" t="b">
        <v>0</v>
      </c>
      <c r="G942" s="114" t="b">
        <v>0</v>
      </c>
    </row>
    <row r="943" spans="1:7" ht="15">
      <c r="A943" s="114" t="s">
        <v>2496</v>
      </c>
      <c r="B943" s="114">
        <v>2</v>
      </c>
      <c r="C943" s="116">
        <v>0.0021857488339028985</v>
      </c>
      <c r="D943" s="114" t="s">
        <v>1707</v>
      </c>
      <c r="E943" s="114" t="b">
        <v>0</v>
      </c>
      <c r="F943" s="114" t="b">
        <v>0</v>
      </c>
      <c r="G943" s="114" t="b">
        <v>0</v>
      </c>
    </row>
    <row r="944" spans="1:7" ht="15">
      <c r="A944" s="114" t="s">
        <v>1798</v>
      </c>
      <c r="B944" s="114">
        <v>2</v>
      </c>
      <c r="C944" s="116">
        <v>0.0017922455715970408</v>
      </c>
      <c r="D944" s="114" t="s">
        <v>1707</v>
      </c>
      <c r="E944" s="114" t="b">
        <v>0</v>
      </c>
      <c r="F944" s="114" t="b">
        <v>0</v>
      </c>
      <c r="G944" s="114" t="b">
        <v>0</v>
      </c>
    </row>
    <row r="945" spans="1:7" ht="15">
      <c r="A945" s="114" t="s">
        <v>2034</v>
      </c>
      <c r="B945" s="114">
        <v>2</v>
      </c>
      <c r="C945" s="116">
        <v>0.0021857488339028985</v>
      </c>
      <c r="D945" s="114" t="s">
        <v>1707</v>
      </c>
      <c r="E945" s="114" t="b">
        <v>0</v>
      </c>
      <c r="F945" s="114" t="b">
        <v>0</v>
      </c>
      <c r="G945" s="114" t="b">
        <v>0</v>
      </c>
    </row>
    <row r="946" spans="1:7" ht="15">
      <c r="A946" s="114" t="s">
        <v>2494</v>
      </c>
      <c r="B946" s="114">
        <v>2</v>
      </c>
      <c r="C946" s="116">
        <v>0.0021857488339028985</v>
      </c>
      <c r="D946" s="114" t="s">
        <v>1707</v>
      </c>
      <c r="E946" s="114" t="b">
        <v>0</v>
      </c>
      <c r="F946" s="114" t="b">
        <v>0</v>
      </c>
      <c r="G946" s="114" t="b">
        <v>0</v>
      </c>
    </row>
    <row r="947" spans="1:7" ht="15">
      <c r="A947" s="114" t="s">
        <v>2486</v>
      </c>
      <c r="B947" s="114">
        <v>2</v>
      </c>
      <c r="C947" s="116">
        <v>0.0017922455715970408</v>
      </c>
      <c r="D947" s="114" t="s">
        <v>1707</v>
      </c>
      <c r="E947" s="114" t="b">
        <v>0</v>
      </c>
      <c r="F947" s="114" t="b">
        <v>0</v>
      </c>
      <c r="G947" s="114" t="b">
        <v>0</v>
      </c>
    </row>
    <row r="948" spans="1:7" ht="15">
      <c r="A948" s="114" t="s">
        <v>2399</v>
      </c>
      <c r="B948" s="114">
        <v>2</v>
      </c>
      <c r="C948" s="116">
        <v>0.0017922455715970408</v>
      </c>
      <c r="D948" s="114" t="s">
        <v>1707</v>
      </c>
      <c r="E948" s="114" t="b">
        <v>0</v>
      </c>
      <c r="F948" s="114" t="b">
        <v>0</v>
      </c>
      <c r="G948" s="114" t="b">
        <v>0</v>
      </c>
    </row>
    <row r="949" spans="1:7" ht="15">
      <c r="A949" s="114" t="s">
        <v>2397</v>
      </c>
      <c r="B949" s="114">
        <v>2</v>
      </c>
      <c r="C949" s="116">
        <v>0.0017922455715970408</v>
      </c>
      <c r="D949" s="114" t="s">
        <v>1707</v>
      </c>
      <c r="E949" s="114" t="b">
        <v>0</v>
      </c>
      <c r="F949" s="114" t="b">
        <v>1</v>
      </c>
      <c r="G949" s="114" t="b">
        <v>0</v>
      </c>
    </row>
    <row r="950" spans="1:7" ht="15">
      <c r="A950" s="114" t="s">
        <v>2221</v>
      </c>
      <c r="B950" s="114">
        <v>2</v>
      </c>
      <c r="C950" s="116">
        <v>0.0021857488339028985</v>
      </c>
      <c r="D950" s="114" t="s">
        <v>1707</v>
      </c>
      <c r="E950" s="114" t="b">
        <v>0</v>
      </c>
      <c r="F950" s="114" t="b">
        <v>0</v>
      </c>
      <c r="G950" s="114" t="b">
        <v>0</v>
      </c>
    </row>
    <row r="951" spans="1:7" ht="15">
      <c r="A951" s="114" t="s">
        <v>1967</v>
      </c>
      <c r="B951" s="114">
        <v>2</v>
      </c>
      <c r="C951" s="116">
        <v>0.0021857488339028985</v>
      </c>
      <c r="D951" s="114" t="s">
        <v>1707</v>
      </c>
      <c r="E951" s="114" t="b">
        <v>0</v>
      </c>
      <c r="F951" s="114" t="b">
        <v>0</v>
      </c>
      <c r="G951" s="114" t="b">
        <v>0</v>
      </c>
    </row>
    <row r="952" spans="1:7" ht="15">
      <c r="A952" s="114" t="s">
        <v>2490</v>
      </c>
      <c r="B952" s="114">
        <v>2</v>
      </c>
      <c r="C952" s="116">
        <v>0.0021857488339028985</v>
      </c>
      <c r="D952" s="114" t="s">
        <v>1707</v>
      </c>
      <c r="E952" s="114" t="b">
        <v>0</v>
      </c>
      <c r="F952" s="114" t="b">
        <v>0</v>
      </c>
      <c r="G952" s="114" t="b">
        <v>0</v>
      </c>
    </row>
    <row r="953" spans="1:7" ht="15">
      <c r="A953" s="114" t="s">
        <v>2491</v>
      </c>
      <c r="B953" s="114">
        <v>2</v>
      </c>
      <c r="C953" s="116">
        <v>0.0021857488339028985</v>
      </c>
      <c r="D953" s="114" t="s">
        <v>1707</v>
      </c>
      <c r="E953" s="114" t="b">
        <v>0</v>
      </c>
      <c r="F953" s="114" t="b">
        <v>0</v>
      </c>
      <c r="G953" s="114" t="b">
        <v>0</v>
      </c>
    </row>
    <row r="954" spans="1:7" ht="15">
      <c r="A954" s="114" t="s">
        <v>2492</v>
      </c>
      <c r="B954" s="114">
        <v>2</v>
      </c>
      <c r="C954" s="116">
        <v>0.0021857488339028985</v>
      </c>
      <c r="D954" s="114" t="s">
        <v>1707</v>
      </c>
      <c r="E954" s="114" t="b">
        <v>0</v>
      </c>
      <c r="F954" s="114" t="b">
        <v>0</v>
      </c>
      <c r="G954" s="114" t="b">
        <v>0</v>
      </c>
    </row>
    <row r="955" spans="1:7" ht="15">
      <c r="A955" s="114" t="s">
        <v>2493</v>
      </c>
      <c r="B955" s="114">
        <v>2</v>
      </c>
      <c r="C955" s="116">
        <v>0.0021857488339028985</v>
      </c>
      <c r="D955" s="114" t="s">
        <v>1707</v>
      </c>
      <c r="E955" s="114" t="b">
        <v>0</v>
      </c>
      <c r="F955" s="114" t="b">
        <v>0</v>
      </c>
      <c r="G955" s="114" t="b">
        <v>0</v>
      </c>
    </row>
    <row r="956" spans="1:7" ht="15">
      <c r="A956" s="114" t="s">
        <v>1823</v>
      </c>
      <c r="B956" s="114">
        <v>2</v>
      </c>
      <c r="C956" s="116">
        <v>0.0021857488339028985</v>
      </c>
      <c r="D956" s="114" t="s">
        <v>1707</v>
      </c>
      <c r="E956" s="114" t="b">
        <v>0</v>
      </c>
      <c r="F956" s="114" t="b">
        <v>0</v>
      </c>
      <c r="G956" s="114" t="b">
        <v>0</v>
      </c>
    </row>
    <row r="957" spans="1:7" ht="15">
      <c r="A957" s="114" t="s">
        <v>2245</v>
      </c>
      <c r="B957" s="114">
        <v>2</v>
      </c>
      <c r="C957" s="116">
        <v>0.0021857488339028985</v>
      </c>
      <c r="D957" s="114" t="s">
        <v>1707</v>
      </c>
      <c r="E957" s="114" t="b">
        <v>0</v>
      </c>
      <c r="F957" s="114" t="b">
        <v>0</v>
      </c>
      <c r="G957" s="114" t="b">
        <v>0</v>
      </c>
    </row>
    <row r="958" spans="1:7" ht="15">
      <c r="A958" s="114" t="s">
        <v>1811</v>
      </c>
      <c r="B958" s="114">
        <v>2</v>
      </c>
      <c r="C958" s="116">
        <v>0.0021857488339028985</v>
      </c>
      <c r="D958" s="114" t="s">
        <v>1707</v>
      </c>
      <c r="E958" s="114" t="b">
        <v>0</v>
      </c>
      <c r="F958" s="114" t="b">
        <v>0</v>
      </c>
      <c r="G958" s="114" t="b">
        <v>0</v>
      </c>
    </row>
    <row r="959" spans="1:7" ht="15">
      <c r="A959" s="114" t="s">
        <v>1876</v>
      </c>
      <c r="B959" s="114">
        <v>2</v>
      </c>
      <c r="C959" s="116">
        <v>0.0021857488339028985</v>
      </c>
      <c r="D959" s="114" t="s">
        <v>1707</v>
      </c>
      <c r="E959" s="114" t="b">
        <v>0</v>
      </c>
      <c r="F959" s="114" t="b">
        <v>0</v>
      </c>
      <c r="G959" s="114" t="b">
        <v>0</v>
      </c>
    </row>
    <row r="960" spans="1:7" ht="15">
      <c r="A960" s="114" t="s">
        <v>2487</v>
      </c>
      <c r="B960" s="114">
        <v>2</v>
      </c>
      <c r="C960" s="116">
        <v>0.0021857488339028985</v>
      </c>
      <c r="D960" s="114" t="s">
        <v>1707</v>
      </c>
      <c r="E960" s="114" t="b">
        <v>0</v>
      </c>
      <c r="F960" s="114" t="b">
        <v>0</v>
      </c>
      <c r="G960" s="114" t="b">
        <v>0</v>
      </c>
    </row>
    <row r="961" spans="1:7" ht="15">
      <c r="A961" s="114" t="s">
        <v>2488</v>
      </c>
      <c r="B961" s="114">
        <v>2</v>
      </c>
      <c r="C961" s="116">
        <v>0.0021857488339028985</v>
      </c>
      <c r="D961" s="114" t="s">
        <v>1707</v>
      </c>
      <c r="E961" s="114" t="b">
        <v>0</v>
      </c>
      <c r="F961" s="114" t="b">
        <v>0</v>
      </c>
      <c r="G961" s="114" t="b">
        <v>0</v>
      </c>
    </row>
    <row r="962" spans="1:7" ht="15">
      <c r="A962" s="114" t="s">
        <v>2489</v>
      </c>
      <c r="B962" s="114">
        <v>2</v>
      </c>
      <c r="C962" s="116">
        <v>0.0021857488339028985</v>
      </c>
      <c r="D962" s="114" t="s">
        <v>1707</v>
      </c>
      <c r="E962" s="114" t="b">
        <v>0</v>
      </c>
      <c r="F962" s="114" t="b">
        <v>0</v>
      </c>
      <c r="G962" s="114" t="b">
        <v>0</v>
      </c>
    </row>
    <row r="963" spans="1:7" ht="15">
      <c r="A963" s="114" t="s">
        <v>1800</v>
      </c>
      <c r="B963" s="114">
        <v>2</v>
      </c>
      <c r="C963" s="116">
        <v>0.0017922455715970408</v>
      </c>
      <c r="D963" s="114" t="s">
        <v>1707</v>
      </c>
      <c r="E963" s="114" t="b">
        <v>0</v>
      </c>
      <c r="F963" s="114" t="b">
        <v>0</v>
      </c>
      <c r="G963" s="114" t="b">
        <v>0</v>
      </c>
    </row>
    <row r="964" spans="1:7" ht="15">
      <c r="A964" s="114" t="s">
        <v>2026</v>
      </c>
      <c r="B964" s="114">
        <v>2</v>
      </c>
      <c r="C964" s="116">
        <v>0.0017922455715970408</v>
      </c>
      <c r="D964" s="114" t="s">
        <v>1707</v>
      </c>
      <c r="E964" s="114" t="b">
        <v>0</v>
      </c>
      <c r="F964" s="114" t="b">
        <v>0</v>
      </c>
      <c r="G964" s="114" t="b">
        <v>0</v>
      </c>
    </row>
    <row r="965" spans="1:7" ht="15">
      <c r="A965" s="114" t="s">
        <v>2214</v>
      </c>
      <c r="B965" s="114">
        <v>2</v>
      </c>
      <c r="C965" s="116">
        <v>0.0021857488339028985</v>
      </c>
      <c r="D965" s="114" t="s">
        <v>1707</v>
      </c>
      <c r="E965" s="114" t="b">
        <v>0</v>
      </c>
      <c r="F965" s="114" t="b">
        <v>0</v>
      </c>
      <c r="G965" s="114" t="b">
        <v>0</v>
      </c>
    </row>
    <row r="966" spans="1:7" ht="15">
      <c r="A966" s="114" t="s">
        <v>2403</v>
      </c>
      <c r="B966" s="114">
        <v>2</v>
      </c>
      <c r="C966" s="116">
        <v>0.0021857488339028985</v>
      </c>
      <c r="D966" s="114" t="s">
        <v>1707</v>
      </c>
      <c r="E966" s="114" t="b">
        <v>0</v>
      </c>
      <c r="F966" s="114" t="b">
        <v>0</v>
      </c>
      <c r="G966" s="114" t="b">
        <v>0</v>
      </c>
    </row>
    <row r="967" spans="1:7" ht="15">
      <c r="A967" s="114" t="s">
        <v>2282</v>
      </c>
      <c r="B967" s="114">
        <v>2</v>
      </c>
      <c r="C967" s="116">
        <v>0.0021857488339028985</v>
      </c>
      <c r="D967" s="114" t="s">
        <v>1707</v>
      </c>
      <c r="E967" s="114" t="b">
        <v>0</v>
      </c>
      <c r="F967" s="114" t="b">
        <v>0</v>
      </c>
      <c r="G967" s="114" t="b">
        <v>0</v>
      </c>
    </row>
    <row r="968" spans="1:7" ht="15">
      <c r="A968" s="114" t="s">
        <v>2283</v>
      </c>
      <c r="B968" s="114">
        <v>2</v>
      </c>
      <c r="C968" s="116">
        <v>0.0021857488339028985</v>
      </c>
      <c r="D968" s="114" t="s">
        <v>1707</v>
      </c>
      <c r="E968" s="114" t="b">
        <v>0</v>
      </c>
      <c r="F968" s="114" t="b">
        <v>0</v>
      </c>
      <c r="G968" s="114" t="b">
        <v>0</v>
      </c>
    </row>
    <row r="969" spans="1:7" ht="15">
      <c r="A969" s="114" t="s">
        <v>2400</v>
      </c>
      <c r="B969" s="114">
        <v>2</v>
      </c>
      <c r="C969" s="116">
        <v>0.0021857488339028985</v>
      </c>
      <c r="D969" s="114" t="s">
        <v>1707</v>
      </c>
      <c r="E969" s="114" t="b">
        <v>0</v>
      </c>
      <c r="F969" s="114" t="b">
        <v>0</v>
      </c>
      <c r="G969" s="114" t="b">
        <v>0</v>
      </c>
    </row>
    <row r="970" spans="1:7" ht="15">
      <c r="A970" s="114" t="s">
        <v>1965</v>
      </c>
      <c r="B970" s="114">
        <v>2</v>
      </c>
      <c r="C970" s="116">
        <v>0.0021857488339028985</v>
      </c>
      <c r="D970" s="114" t="s">
        <v>1707</v>
      </c>
      <c r="E970" s="114" t="b">
        <v>1</v>
      </c>
      <c r="F970" s="114" t="b">
        <v>0</v>
      </c>
      <c r="G970" s="114" t="b">
        <v>0</v>
      </c>
    </row>
    <row r="971" spans="1:7" ht="15">
      <c r="A971" s="114" t="s">
        <v>1917</v>
      </c>
      <c r="B971" s="114">
        <v>2</v>
      </c>
      <c r="C971" s="116">
        <v>0.0021857488339028985</v>
      </c>
      <c r="D971" s="114" t="s">
        <v>1707</v>
      </c>
      <c r="E971" s="114" t="b">
        <v>0</v>
      </c>
      <c r="F971" s="114" t="b">
        <v>0</v>
      </c>
      <c r="G971" s="114" t="b">
        <v>0</v>
      </c>
    </row>
    <row r="972" spans="1:7" ht="15">
      <c r="A972" s="114" t="s">
        <v>2014</v>
      </c>
      <c r="B972" s="114">
        <v>2</v>
      </c>
      <c r="C972" s="116">
        <v>0.0017922455715970408</v>
      </c>
      <c r="D972" s="114" t="s">
        <v>1707</v>
      </c>
      <c r="E972" s="114" t="b">
        <v>0</v>
      </c>
      <c r="F972" s="114" t="b">
        <v>0</v>
      </c>
      <c r="G972" s="114" t="b">
        <v>0</v>
      </c>
    </row>
    <row r="973" spans="1:7" ht="15">
      <c r="A973" s="114" t="s">
        <v>2402</v>
      </c>
      <c r="B973" s="114">
        <v>2</v>
      </c>
      <c r="C973" s="116">
        <v>0.0021857488339028985</v>
      </c>
      <c r="D973" s="114" t="s">
        <v>1707</v>
      </c>
      <c r="E973" s="114" t="b">
        <v>0</v>
      </c>
      <c r="F973" s="114" t="b">
        <v>0</v>
      </c>
      <c r="G973" s="114" t="b">
        <v>0</v>
      </c>
    </row>
    <row r="974" spans="1:7" ht="15">
      <c r="A974" s="114" t="s">
        <v>1971</v>
      </c>
      <c r="B974" s="114">
        <v>2</v>
      </c>
      <c r="C974" s="116">
        <v>0.0017922455715970408</v>
      </c>
      <c r="D974" s="114" t="s">
        <v>1707</v>
      </c>
      <c r="E974" s="114" t="b">
        <v>0</v>
      </c>
      <c r="F974" s="114" t="b">
        <v>0</v>
      </c>
      <c r="G974" s="114" t="b">
        <v>0</v>
      </c>
    </row>
    <row r="975" spans="1:7" ht="15">
      <c r="A975" s="114" t="s">
        <v>2013</v>
      </c>
      <c r="B975" s="114">
        <v>2</v>
      </c>
      <c r="C975" s="116">
        <v>0.0017922455715970408</v>
      </c>
      <c r="D975" s="114" t="s">
        <v>1707</v>
      </c>
      <c r="E975" s="114" t="b">
        <v>0</v>
      </c>
      <c r="F975" s="114" t="b">
        <v>0</v>
      </c>
      <c r="G975" s="114" t="b">
        <v>0</v>
      </c>
    </row>
    <row r="976" spans="1:7" ht="15">
      <c r="A976" s="114" t="s">
        <v>2083</v>
      </c>
      <c r="B976" s="114">
        <v>2</v>
      </c>
      <c r="C976" s="116">
        <v>0.0017922455715970408</v>
      </c>
      <c r="D976" s="114" t="s">
        <v>1707</v>
      </c>
      <c r="E976" s="114" t="b">
        <v>0</v>
      </c>
      <c r="F976" s="114" t="b">
        <v>0</v>
      </c>
      <c r="G976" s="114" t="b">
        <v>0</v>
      </c>
    </row>
    <row r="977" spans="1:7" ht="15">
      <c r="A977" s="114" t="s">
        <v>1972</v>
      </c>
      <c r="B977" s="114">
        <v>2</v>
      </c>
      <c r="C977" s="116">
        <v>0.0017922455715970408</v>
      </c>
      <c r="D977" s="114" t="s">
        <v>1707</v>
      </c>
      <c r="E977" s="114" t="b">
        <v>0</v>
      </c>
      <c r="F977" s="114" t="b">
        <v>0</v>
      </c>
      <c r="G977" s="114" t="b">
        <v>0</v>
      </c>
    </row>
    <row r="978" spans="1:7" ht="15">
      <c r="A978" s="114" t="s">
        <v>1946</v>
      </c>
      <c r="B978" s="114">
        <v>2</v>
      </c>
      <c r="C978" s="116">
        <v>0.0017922455715970408</v>
      </c>
      <c r="D978" s="114" t="s">
        <v>1707</v>
      </c>
      <c r="E978" s="114" t="b">
        <v>0</v>
      </c>
      <c r="F978" s="114" t="b">
        <v>0</v>
      </c>
      <c r="G978" s="114" t="b">
        <v>0</v>
      </c>
    </row>
    <row r="979" spans="1:7" ht="15">
      <c r="A979" s="114" t="s">
        <v>2084</v>
      </c>
      <c r="B979" s="114">
        <v>2</v>
      </c>
      <c r="C979" s="116">
        <v>0.0017922455715970408</v>
      </c>
      <c r="D979" s="114" t="s">
        <v>1707</v>
      </c>
      <c r="E979" s="114" t="b">
        <v>0</v>
      </c>
      <c r="F979" s="114" t="b">
        <v>0</v>
      </c>
      <c r="G979" s="114" t="b">
        <v>0</v>
      </c>
    </row>
    <row r="980" spans="1:7" ht="15">
      <c r="A980" s="114" t="s">
        <v>2085</v>
      </c>
      <c r="B980" s="114">
        <v>2</v>
      </c>
      <c r="C980" s="116">
        <v>0.0017922455715970408</v>
      </c>
      <c r="D980" s="114" t="s">
        <v>1707</v>
      </c>
      <c r="E980" s="114" t="b">
        <v>0</v>
      </c>
      <c r="F980" s="114" t="b">
        <v>0</v>
      </c>
      <c r="G980" s="114" t="b">
        <v>0</v>
      </c>
    </row>
    <row r="981" spans="1:7" ht="15">
      <c r="A981" s="114" t="s">
        <v>1881</v>
      </c>
      <c r="B981" s="114">
        <v>2</v>
      </c>
      <c r="C981" s="116">
        <v>0.0017922455715970408</v>
      </c>
      <c r="D981" s="114" t="s">
        <v>1707</v>
      </c>
      <c r="E981" s="114" t="b">
        <v>0</v>
      </c>
      <c r="F981" s="114" t="b">
        <v>0</v>
      </c>
      <c r="G981" s="114" t="b">
        <v>0</v>
      </c>
    </row>
    <row r="982" spans="1:7" ht="15">
      <c r="A982" s="114" t="s">
        <v>2414</v>
      </c>
      <c r="B982" s="114">
        <v>2</v>
      </c>
      <c r="C982" s="116">
        <v>0.0021857488339028985</v>
      </c>
      <c r="D982" s="114" t="s">
        <v>1707</v>
      </c>
      <c r="E982" s="114" t="b">
        <v>0</v>
      </c>
      <c r="F982" s="114" t="b">
        <v>0</v>
      </c>
      <c r="G982" s="114" t="b">
        <v>0</v>
      </c>
    </row>
    <row r="983" spans="1:7" ht="15">
      <c r="A983" s="114" t="s">
        <v>2219</v>
      </c>
      <c r="B983" s="114">
        <v>2</v>
      </c>
      <c r="C983" s="116">
        <v>0.0021857488339028985</v>
      </c>
      <c r="D983" s="114" t="s">
        <v>1707</v>
      </c>
      <c r="E983" s="114" t="b">
        <v>0</v>
      </c>
      <c r="F983" s="114" t="b">
        <v>0</v>
      </c>
      <c r="G983" s="114" t="b">
        <v>0</v>
      </c>
    </row>
    <row r="984" spans="1:7" ht="15">
      <c r="A984" s="114" t="s">
        <v>2415</v>
      </c>
      <c r="B984" s="114">
        <v>2</v>
      </c>
      <c r="C984" s="116">
        <v>0.0021857488339028985</v>
      </c>
      <c r="D984" s="114" t="s">
        <v>1707</v>
      </c>
      <c r="E984" s="114" t="b">
        <v>0</v>
      </c>
      <c r="F984" s="114" t="b">
        <v>0</v>
      </c>
      <c r="G984" s="114" t="b">
        <v>0</v>
      </c>
    </row>
    <row r="985" spans="1:7" ht="15">
      <c r="A985" s="114" t="s">
        <v>2416</v>
      </c>
      <c r="B985" s="114">
        <v>2</v>
      </c>
      <c r="C985" s="116">
        <v>0.0021857488339028985</v>
      </c>
      <c r="D985" s="114" t="s">
        <v>1707</v>
      </c>
      <c r="E985" s="114" t="b">
        <v>1</v>
      </c>
      <c r="F985" s="114" t="b">
        <v>0</v>
      </c>
      <c r="G985" s="114" t="b">
        <v>0</v>
      </c>
    </row>
    <row r="986" spans="1:7" ht="15">
      <c r="A986" s="114" t="s">
        <v>2417</v>
      </c>
      <c r="B986" s="114">
        <v>2</v>
      </c>
      <c r="C986" s="116">
        <v>0.0021857488339028985</v>
      </c>
      <c r="D986" s="114" t="s">
        <v>1707</v>
      </c>
      <c r="E986" s="114" t="b">
        <v>0</v>
      </c>
      <c r="F986" s="114" t="b">
        <v>0</v>
      </c>
      <c r="G986" s="114" t="b">
        <v>0</v>
      </c>
    </row>
    <row r="987" spans="1:7" ht="15">
      <c r="A987" s="114" t="s">
        <v>1924</v>
      </c>
      <c r="B987" s="114">
        <v>2</v>
      </c>
      <c r="C987" s="116">
        <v>0.0021857488339028985</v>
      </c>
      <c r="D987" s="114" t="s">
        <v>1707</v>
      </c>
      <c r="E987" s="114" t="b">
        <v>0</v>
      </c>
      <c r="F987" s="114" t="b">
        <v>0</v>
      </c>
      <c r="G987" s="114" t="b">
        <v>0</v>
      </c>
    </row>
    <row r="988" spans="1:7" ht="15">
      <c r="A988" s="114" t="s">
        <v>2210</v>
      </c>
      <c r="B988" s="114">
        <v>2</v>
      </c>
      <c r="C988" s="116">
        <v>0.0017922455715970408</v>
      </c>
      <c r="D988" s="114" t="s">
        <v>1707</v>
      </c>
      <c r="E988" s="114" t="b">
        <v>0</v>
      </c>
      <c r="F988" s="114" t="b">
        <v>0</v>
      </c>
      <c r="G988" s="114" t="b">
        <v>0</v>
      </c>
    </row>
    <row r="989" spans="1:7" ht="15">
      <c r="A989" s="114" t="s">
        <v>2408</v>
      </c>
      <c r="B989" s="114">
        <v>2</v>
      </c>
      <c r="C989" s="116">
        <v>0.0021857488339028985</v>
      </c>
      <c r="D989" s="114" t="s">
        <v>1707</v>
      </c>
      <c r="E989" s="114" t="b">
        <v>0</v>
      </c>
      <c r="F989" s="114" t="b">
        <v>0</v>
      </c>
      <c r="G989" s="114" t="b">
        <v>0</v>
      </c>
    </row>
    <row r="990" spans="1:7" ht="15">
      <c r="A990" s="114" t="s">
        <v>1918</v>
      </c>
      <c r="B990" s="114">
        <v>2</v>
      </c>
      <c r="C990" s="116">
        <v>0.0021857488339028985</v>
      </c>
      <c r="D990" s="114" t="s">
        <v>1707</v>
      </c>
      <c r="E990" s="114" t="b">
        <v>0</v>
      </c>
      <c r="F990" s="114" t="b">
        <v>0</v>
      </c>
      <c r="G990" s="114" t="b">
        <v>0</v>
      </c>
    </row>
    <row r="991" spans="1:7" ht="15">
      <c r="A991" s="114" t="s">
        <v>2391</v>
      </c>
      <c r="B991" s="114">
        <v>2</v>
      </c>
      <c r="C991" s="116">
        <v>0.0021857488339028985</v>
      </c>
      <c r="D991" s="114" t="s">
        <v>1707</v>
      </c>
      <c r="E991" s="114" t="b">
        <v>0</v>
      </c>
      <c r="F991" s="114" t="b">
        <v>0</v>
      </c>
      <c r="G991" s="114" t="b">
        <v>0</v>
      </c>
    </row>
    <row r="992" spans="1:7" ht="15">
      <c r="A992" s="114" t="s">
        <v>2404</v>
      </c>
      <c r="B992" s="114">
        <v>2</v>
      </c>
      <c r="C992" s="116">
        <v>0.0021857488339028985</v>
      </c>
      <c r="D992" s="114" t="s">
        <v>1707</v>
      </c>
      <c r="E992" s="114" t="b">
        <v>0</v>
      </c>
      <c r="F992" s="114" t="b">
        <v>0</v>
      </c>
      <c r="G992" s="114" t="b">
        <v>0</v>
      </c>
    </row>
    <row r="993" spans="1:7" ht="15">
      <c r="A993" s="114" t="s">
        <v>2003</v>
      </c>
      <c r="B993" s="114">
        <v>2</v>
      </c>
      <c r="C993" s="116">
        <v>0.0017922455715970408</v>
      </c>
      <c r="D993" s="114" t="s">
        <v>1707</v>
      </c>
      <c r="E993" s="114" t="b">
        <v>0</v>
      </c>
      <c r="F993" s="114" t="b">
        <v>0</v>
      </c>
      <c r="G993" s="114" t="b">
        <v>0</v>
      </c>
    </row>
    <row r="994" spans="1:7" ht="15">
      <c r="A994" s="114" t="s">
        <v>1792</v>
      </c>
      <c r="B994" s="114">
        <v>2</v>
      </c>
      <c r="C994" s="116">
        <v>0.0021857488339028985</v>
      </c>
      <c r="D994" s="114" t="s">
        <v>1707</v>
      </c>
      <c r="E994" s="114" t="b">
        <v>0</v>
      </c>
      <c r="F994" s="114" t="b">
        <v>0</v>
      </c>
      <c r="G994" s="114" t="b">
        <v>0</v>
      </c>
    </row>
    <row r="995" spans="1:7" ht="15">
      <c r="A995" s="114" t="s">
        <v>1791</v>
      </c>
      <c r="B995" s="114">
        <v>2</v>
      </c>
      <c r="C995" s="116">
        <v>0.0021857488339028985</v>
      </c>
      <c r="D995" s="114" t="s">
        <v>1707</v>
      </c>
      <c r="E995" s="114" t="b">
        <v>0</v>
      </c>
      <c r="F995" s="114" t="b">
        <v>0</v>
      </c>
      <c r="G995" s="114" t="b">
        <v>0</v>
      </c>
    </row>
    <row r="996" spans="1:7" ht="15">
      <c r="A996" s="114" t="s">
        <v>1809</v>
      </c>
      <c r="B996" s="114">
        <v>2</v>
      </c>
      <c r="C996" s="116">
        <v>0.0021857488339028985</v>
      </c>
      <c r="D996" s="114" t="s">
        <v>1707</v>
      </c>
      <c r="E996" s="114" t="b">
        <v>0</v>
      </c>
      <c r="F996" s="114" t="b">
        <v>0</v>
      </c>
      <c r="G996" s="114" t="b">
        <v>0</v>
      </c>
    </row>
    <row r="997" spans="1:7" ht="15">
      <c r="A997" s="114" t="s">
        <v>1776</v>
      </c>
      <c r="B997" s="114">
        <v>2</v>
      </c>
      <c r="C997" s="116">
        <v>0.0021857488339028985</v>
      </c>
      <c r="D997" s="114" t="s">
        <v>1707</v>
      </c>
      <c r="E997" s="114" t="b">
        <v>0</v>
      </c>
      <c r="F997" s="114" t="b">
        <v>0</v>
      </c>
      <c r="G997" s="114" t="b">
        <v>0</v>
      </c>
    </row>
    <row r="998" spans="1:7" ht="15">
      <c r="A998" s="114" t="s">
        <v>1849</v>
      </c>
      <c r="B998" s="114">
        <v>2</v>
      </c>
      <c r="C998" s="116">
        <v>0.0017922455715970408</v>
      </c>
      <c r="D998" s="114" t="s">
        <v>1707</v>
      </c>
      <c r="E998" s="114" t="b">
        <v>0</v>
      </c>
      <c r="F998" s="114" t="b">
        <v>0</v>
      </c>
      <c r="G998" s="114" t="b">
        <v>0</v>
      </c>
    </row>
    <row r="999" spans="1:7" ht="15">
      <c r="A999" s="114" t="s">
        <v>2009</v>
      </c>
      <c r="B999" s="114">
        <v>2</v>
      </c>
      <c r="C999" s="116">
        <v>0.0021857488339028985</v>
      </c>
      <c r="D999" s="114" t="s">
        <v>1707</v>
      </c>
      <c r="E999" s="114" t="b">
        <v>0</v>
      </c>
      <c r="F999" s="114" t="b">
        <v>1</v>
      </c>
      <c r="G999" s="114" t="b">
        <v>0</v>
      </c>
    </row>
    <row r="1000" spans="1:7" ht="15">
      <c r="A1000" s="114" t="s">
        <v>1784</v>
      </c>
      <c r="B1000" s="114">
        <v>2</v>
      </c>
      <c r="C1000" s="116">
        <v>0.0017922455715970408</v>
      </c>
      <c r="D1000" s="114" t="s">
        <v>1707</v>
      </c>
      <c r="E1000" s="114" t="b">
        <v>0</v>
      </c>
      <c r="F1000" s="114" t="b">
        <v>0</v>
      </c>
      <c r="G1000" s="114" t="b">
        <v>0</v>
      </c>
    </row>
    <row r="1001" spans="1:7" ht="15">
      <c r="A1001" s="114" t="s">
        <v>1780</v>
      </c>
      <c r="B1001" s="114">
        <v>2</v>
      </c>
      <c r="C1001" s="116">
        <v>0.0017922455715970408</v>
      </c>
      <c r="D1001" s="114" t="s">
        <v>1707</v>
      </c>
      <c r="E1001" s="114" t="b">
        <v>0</v>
      </c>
      <c r="F1001" s="114" t="b">
        <v>0</v>
      </c>
      <c r="G1001" s="114" t="b">
        <v>0</v>
      </c>
    </row>
    <row r="1002" spans="1:7" ht="15">
      <c r="A1002" s="114" t="s">
        <v>1781</v>
      </c>
      <c r="B1002" s="114">
        <v>2</v>
      </c>
      <c r="C1002" s="116">
        <v>0.0017922455715970408</v>
      </c>
      <c r="D1002" s="114" t="s">
        <v>1707</v>
      </c>
      <c r="E1002" s="114" t="b">
        <v>0</v>
      </c>
      <c r="F1002" s="114" t="b">
        <v>0</v>
      </c>
      <c r="G1002" s="114" t="b">
        <v>0</v>
      </c>
    </row>
    <row r="1003" spans="1:7" ht="15">
      <c r="A1003" s="114" t="s">
        <v>1804</v>
      </c>
      <c r="B1003" s="114">
        <v>2</v>
      </c>
      <c r="C1003" s="116">
        <v>0.0017922455715970408</v>
      </c>
      <c r="D1003" s="114" t="s">
        <v>1707</v>
      </c>
      <c r="E1003" s="114" t="b">
        <v>0</v>
      </c>
      <c r="F1003" s="114" t="b">
        <v>0</v>
      </c>
      <c r="G1003" s="114" t="b">
        <v>0</v>
      </c>
    </row>
    <row r="1004" spans="1:7" ht="15">
      <c r="A1004" s="114" t="s">
        <v>2395</v>
      </c>
      <c r="B1004" s="114">
        <v>2</v>
      </c>
      <c r="C1004" s="116">
        <v>0.0021857488339028985</v>
      </c>
      <c r="D1004" s="114" t="s">
        <v>1707</v>
      </c>
      <c r="E1004" s="114" t="b">
        <v>0</v>
      </c>
      <c r="F1004" s="114" t="b">
        <v>0</v>
      </c>
      <c r="G1004" s="114" t="b">
        <v>0</v>
      </c>
    </row>
    <row r="1005" spans="1:7" ht="15">
      <c r="A1005" s="114" t="s">
        <v>1739</v>
      </c>
      <c r="B1005" s="114">
        <v>128</v>
      </c>
      <c r="C1005" s="116">
        <v>0.012286471877834318</v>
      </c>
      <c r="D1005" s="114" t="s">
        <v>1708</v>
      </c>
      <c r="E1005" s="114" t="b">
        <v>0</v>
      </c>
      <c r="F1005" s="114" t="b">
        <v>0</v>
      </c>
      <c r="G1005" s="114" t="b">
        <v>0</v>
      </c>
    </row>
    <row r="1006" spans="1:7" ht="15">
      <c r="A1006" s="114" t="s">
        <v>1741</v>
      </c>
      <c r="B1006" s="114">
        <v>93</v>
      </c>
      <c r="C1006" s="116">
        <v>0.011918840678441307</v>
      </c>
      <c r="D1006" s="114" t="s">
        <v>1708</v>
      </c>
      <c r="E1006" s="114" t="b">
        <v>0</v>
      </c>
      <c r="F1006" s="114" t="b">
        <v>0</v>
      </c>
      <c r="G1006" s="114" t="b">
        <v>0</v>
      </c>
    </row>
    <row r="1007" spans="1:7" ht="15">
      <c r="A1007" s="114" t="s">
        <v>1742</v>
      </c>
      <c r="B1007" s="114">
        <v>78</v>
      </c>
      <c r="C1007" s="116">
        <v>0.022298710905044303</v>
      </c>
      <c r="D1007" s="114" t="s">
        <v>1708</v>
      </c>
      <c r="E1007" s="114" t="b">
        <v>0</v>
      </c>
      <c r="F1007" s="114" t="b">
        <v>0</v>
      </c>
      <c r="G1007" s="114" t="b">
        <v>0</v>
      </c>
    </row>
    <row r="1008" spans="1:7" ht="15">
      <c r="A1008" s="114" t="s">
        <v>1743</v>
      </c>
      <c r="B1008" s="114">
        <v>70</v>
      </c>
      <c r="C1008" s="116">
        <v>0.008971170403127865</v>
      </c>
      <c r="D1008" s="114" t="s">
        <v>1708</v>
      </c>
      <c r="E1008" s="114" t="b">
        <v>0</v>
      </c>
      <c r="F1008" s="114" t="b">
        <v>0</v>
      </c>
      <c r="G1008" s="114" t="b">
        <v>0</v>
      </c>
    </row>
    <row r="1009" spans="1:7" ht="15">
      <c r="A1009" s="114" t="s">
        <v>1740</v>
      </c>
      <c r="B1009" s="114">
        <v>70</v>
      </c>
      <c r="C1009" s="116">
        <v>0.015336317100785068</v>
      </c>
      <c r="D1009" s="114" t="s">
        <v>1708</v>
      </c>
      <c r="E1009" s="114" t="b">
        <v>0</v>
      </c>
      <c r="F1009" s="114" t="b">
        <v>0</v>
      </c>
      <c r="G1009" s="114" t="b">
        <v>0</v>
      </c>
    </row>
    <row r="1010" spans="1:7" ht="15">
      <c r="A1010" s="114" t="s">
        <v>1746</v>
      </c>
      <c r="B1010" s="114">
        <v>26</v>
      </c>
      <c r="C1010" s="116">
        <v>0.008461505687698472</v>
      </c>
      <c r="D1010" s="114" t="s">
        <v>1708</v>
      </c>
      <c r="E1010" s="114" t="b">
        <v>0</v>
      </c>
      <c r="F1010" s="114" t="b">
        <v>1</v>
      </c>
      <c r="G1010" s="114" t="b">
        <v>0</v>
      </c>
    </row>
    <row r="1011" spans="1:7" ht="15">
      <c r="A1011" s="114" t="s">
        <v>1744</v>
      </c>
      <c r="B1011" s="114">
        <v>25</v>
      </c>
      <c r="C1011" s="116">
        <v>0.011340052590937053</v>
      </c>
      <c r="D1011" s="114" t="s">
        <v>1708</v>
      </c>
      <c r="E1011" s="114" t="b">
        <v>0</v>
      </c>
      <c r="F1011" s="114" t="b">
        <v>0</v>
      </c>
      <c r="G1011" s="114" t="b">
        <v>0</v>
      </c>
    </row>
    <row r="1012" spans="1:7" ht="15">
      <c r="A1012" s="114" t="s">
        <v>1760</v>
      </c>
      <c r="B1012" s="114">
        <v>22</v>
      </c>
      <c r="C1012" s="116">
        <v>0.01635092036356524</v>
      </c>
      <c r="D1012" s="114" t="s">
        <v>1708</v>
      </c>
      <c r="E1012" s="114" t="b">
        <v>0</v>
      </c>
      <c r="F1012" s="114" t="b">
        <v>0</v>
      </c>
      <c r="G1012" s="114" t="b">
        <v>0</v>
      </c>
    </row>
    <row r="1013" spans="1:7" ht="15">
      <c r="A1013" s="114" t="s">
        <v>1748</v>
      </c>
      <c r="B1013" s="114">
        <v>21</v>
      </c>
      <c r="C1013" s="116">
        <v>0.007784151892221498</v>
      </c>
      <c r="D1013" s="114" t="s">
        <v>1708</v>
      </c>
      <c r="E1013" s="114" t="b">
        <v>0</v>
      </c>
      <c r="F1013" s="114" t="b">
        <v>0</v>
      </c>
      <c r="G1013" s="114" t="b">
        <v>0</v>
      </c>
    </row>
    <row r="1014" spans="1:7" ht="15">
      <c r="A1014" s="114" t="s">
        <v>1750</v>
      </c>
      <c r="B1014" s="114">
        <v>15</v>
      </c>
      <c r="C1014" s="116">
        <v>0.007303567477713707</v>
      </c>
      <c r="D1014" s="114" t="s">
        <v>1708</v>
      </c>
      <c r="E1014" s="114" t="b">
        <v>0</v>
      </c>
      <c r="F1014" s="114" t="b">
        <v>0</v>
      </c>
      <c r="G1014" s="114" t="b">
        <v>0</v>
      </c>
    </row>
    <row r="1015" spans="1:7" ht="15">
      <c r="A1015" s="114" t="s">
        <v>1747</v>
      </c>
      <c r="B1015" s="114">
        <v>14</v>
      </c>
      <c r="C1015" s="116">
        <v>0.005189434594814332</v>
      </c>
      <c r="D1015" s="114" t="s">
        <v>1708</v>
      </c>
      <c r="E1015" s="114" t="b">
        <v>0</v>
      </c>
      <c r="F1015" s="114" t="b">
        <v>0</v>
      </c>
      <c r="G1015" s="114" t="b">
        <v>0</v>
      </c>
    </row>
    <row r="1016" spans="1:7" ht="15">
      <c r="A1016" s="114" t="s">
        <v>1752</v>
      </c>
      <c r="B1016" s="114">
        <v>14</v>
      </c>
      <c r="C1016" s="116">
        <v>0.011678160479982045</v>
      </c>
      <c r="D1016" s="114" t="s">
        <v>1708</v>
      </c>
      <c r="E1016" s="114" t="b">
        <v>0</v>
      </c>
      <c r="F1016" s="114" t="b">
        <v>0</v>
      </c>
      <c r="G1016" s="114" t="b">
        <v>0</v>
      </c>
    </row>
    <row r="1017" spans="1:7" ht="15">
      <c r="A1017" s="114" t="s">
        <v>1758</v>
      </c>
      <c r="B1017" s="114">
        <v>13</v>
      </c>
      <c r="C1017" s="116">
        <v>0.006329758480685213</v>
      </c>
      <c r="D1017" s="114" t="s">
        <v>1708</v>
      </c>
      <c r="E1017" s="114" t="b">
        <v>0</v>
      </c>
      <c r="F1017" s="114" t="b">
        <v>0</v>
      </c>
      <c r="G1017" s="114" t="b">
        <v>0</v>
      </c>
    </row>
    <row r="1018" spans="1:7" ht="15">
      <c r="A1018" s="114" t="s">
        <v>1828</v>
      </c>
      <c r="B1018" s="114">
        <v>13</v>
      </c>
      <c r="C1018" s="116">
        <v>0.009661907487561277</v>
      </c>
      <c r="D1018" s="114" t="s">
        <v>1708</v>
      </c>
      <c r="E1018" s="114" t="b">
        <v>0</v>
      </c>
      <c r="F1018" s="114" t="b">
        <v>0</v>
      </c>
      <c r="G1018" s="114" t="b">
        <v>0</v>
      </c>
    </row>
    <row r="1019" spans="1:7" ht="15">
      <c r="A1019" s="114" t="s">
        <v>1783</v>
      </c>
      <c r="B1019" s="114">
        <v>13</v>
      </c>
      <c r="C1019" s="116">
        <v>0.012510080663421363</v>
      </c>
      <c r="D1019" s="114" t="s">
        <v>1708</v>
      </c>
      <c r="E1019" s="114" t="b">
        <v>0</v>
      </c>
      <c r="F1019" s="114" t="b">
        <v>0</v>
      </c>
      <c r="G1019" s="114" t="b">
        <v>0</v>
      </c>
    </row>
    <row r="1020" spans="1:7" ht="15">
      <c r="A1020" s="114" t="s">
        <v>1753</v>
      </c>
      <c r="B1020" s="114">
        <v>12</v>
      </c>
      <c r="C1020" s="116">
        <v>0.008918683834671948</v>
      </c>
      <c r="D1020" s="114" t="s">
        <v>1708</v>
      </c>
      <c r="E1020" s="114" t="b">
        <v>0</v>
      </c>
      <c r="F1020" s="114" t="b">
        <v>0</v>
      </c>
      <c r="G1020" s="114" t="b">
        <v>0</v>
      </c>
    </row>
    <row r="1021" spans="1:7" ht="15">
      <c r="A1021" s="114" t="s">
        <v>1749</v>
      </c>
      <c r="B1021" s="114">
        <v>11</v>
      </c>
      <c r="C1021" s="116">
        <v>0.00817546018178262</v>
      </c>
      <c r="D1021" s="114" t="s">
        <v>1708</v>
      </c>
      <c r="E1021" s="114" t="b">
        <v>0</v>
      </c>
      <c r="F1021" s="114" t="b">
        <v>0</v>
      </c>
      <c r="G1021" s="114" t="b">
        <v>0</v>
      </c>
    </row>
    <row r="1022" spans="1:7" ht="15">
      <c r="A1022" s="114" t="s">
        <v>1770</v>
      </c>
      <c r="B1022" s="114">
        <v>10</v>
      </c>
      <c r="C1022" s="116">
        <v>0.008341543199987176</v>
      </c>
      <c r="D1022" s="114" t="s">
        <v>1708</v>
      </c>
      <c r="E1022" s="114" t="b">
        <v>0</v>
      </c>
      <c r="F1022" s="114" t="b">
        <v>0</v>
      </c>
      <c r="G1022" s="114" t="b">
        <v>0</v>
      </c>
    </row>
    <row r="1023" spans="1:7" ht="15">
      <c r="A1023" s="114" t="s">
        <v>1901</v>
      </c>
      <c r="B1023" s="114">
        <v>9</v>
      </c>
      <c r="C1023" s="116">
        <v>0.006689012876003961</v>
      </c>
      <c r="D1023" s="114" t="s">
        <v>1708</v>
      </c>
      <c r="E1023" s="114" t="b">
        <v>0</v>
      </c>
      <c r="F1023" s="114" t="b">
        <v>0</v>
      </c>
      <c r="G1023" s="114" t="b">
        <v>0</v>
      </c>
    </row>
    <row r="1024" spans="1:7" ht="15">
      <c r="A1024" s="114" t="s">
        <v>1874</v>
      </c>
      <c r="B1024" s="114">
        <v>9</v>
      </c>
      <c r="C1024" s="116">
        <v>0.007507388879988458</v>
      </c>
      <c r="D1024" s="114" t="s">
        <v>1708</v>
      </c>
      <c r="E1024" s="114" t="b">
        <v>0</v>
      </c>
      <c r="F1024" s="114" t="b">
        <v>0</v>
      </c>
      <c r="G1024" s="114" t="b">
        <v>0</v>
      </c>
    </row>
    <row r="1025" spans="1:7" ht="15">
      <c r="A1025" s="114" t="s">
        <v>1767</v>
      </c>
      <c r="B1025" s="114">
        <v>9</v>
      </c>
      <c r="C1025" s="116">
        <v>0.008660825074676326</v>
      </c>
      <c r="D1025" s="114" t="s">
        <v>1708</v>
      </c>
      <c r="E1025" s="114" t="b">
        <v>0</v>
      </c>
      <c r="F1025" s="114" t="b">
        <v>0</v>
      </c>
      <c r="G1025" s="114" t="b">
        <v>0</v>
      </c>
    </row>
    <row r="1026" spans="1:7" ht="15">
      <c r="A1026" s="114" t="s">
        <v>1851</v>
      </c>
      <c r="B1026" s="114">
        <v>8</v>
      </c>
      <c r="C1026" s="116">
        <v>0.006673234559989741</v>
      </c>
      <c r="D1026" s="114" t="s">
        <v>1708</v>
      </c>
      <c r="E1026" s="114" t="b">
        <v>0</v>
      </c>
      <c r="F1026" s="114" t="b">
        <v>0</v>
      </c>
      <c r="G1026" s="114" t="b">
        <v>0</v>
      </c>
    </row>
    <row r="1027" spans="1:7" ht="15">
      <c r="A1027" s="114" t="s">
        <v>1910</v>
      </c>
      <c r="B1027" s="114">
        <v>7</v>
      </c>
      <c r="C1027" s="116">
        <v>0.004708846435540882</v>
      </c>
      <c r="D1027" s="114" t="s">
        <v>1708</v>
      </c>
      <c r="E1027" s="114" t="b">
        <v>1</v>
      </c>
      <c r="F1027" s="114" t="b">
        <v>0</v>
      </c>
      <c r="G1027" s="114" t="b">
        <v>0</v>
      </c>
    </row>
    <row r="1028" spans="1:7" ht="15">
      <c r="A1028" s="114" t="s">
        <v>1782</v>
      </c>
      <c r="B1028" s="114">
        <v>7</v>
      </c>
      <c r="C1028" s="116">
        <v>0.004708846435540882</v>
      </c>
      <c r="D1028" s="114" t="s">
        <v>1708</v>
      </c>
      <c r="E1028" s="114" t="b">
        <v>0</v>
      </c>
      <c r="F1028" s="114" t="b">
        <v>0</v>
      </c>
      <c r="G1028" s="114" t="b">
        <v>0</v>
      </c>
    </row>
    <row r="1029" spans="1:7" ht="15">
      <c r="A1029" s="114" t="s">
        <v>1776</v>
      </c>
      <c r="B1029" s="114">
        <v>7</v>
      </c>
      <c r="C1029" s="116">
        <v>0.005839080239991023</v>
      </c>
      <c r="D1029" s="114" t="s">
        <v>1708</v>
      </c>
      <c r="E1029" s="114" t="b">
        <v>0</v>
      </c>
      <c r="F1029" s="114" t="b">
        <v>0</v>
      </c>
      <c r="G1029" s="114" t="b">
        <v>0</v>
      </c>
    </row>
    <row r="1030" spans="1:7" ht="15">
      <c r="A1030" s="114" t="s">
        <v>1757</v>
      </c>
      <c r="B1030" s="114">
        <v>7</v>
      </c>
      <c r="C1030" s="116">
        <v>0.005839080239991023</v>
      </c>
      <c r="D1030" s="114" t="s">
        <v>1708</v>
      </c>
      <c r="E1030" s="114" t="b">
        <v>0</v>
      </c>
      <c r="F1030" s="114" t="b">
        <v>0</v>
      </c>
      <c r="G1030" s="114" t="b">
        <v>0</v>
      </c>
    </row>
    <row r="1031" spans="1:7" ht="15">
      <c r="A1031" s="114" t="s">
        <v>1759</v>
      </c>
      <c r="B1031" s="114">
        <v>7</v>
      </c>
      <c r="C1031" s="116">
        <v>0.008269828990382318</v>
      </c>
      <c r="D1031" s="114" t="s">
        <v>1708</v>
      </c>
      <c r="E1031" s="114" t="b">
        <v>0</v>
      </c>
      <c r="F1031" s="114" t="b">
        <v>0</v>
      </c>
      <c r="G1031" s="114" t="b">
        <v>0</v>
      </c>
    </row>
    <row r="1032" spans="1:7" ht="15">
      <c r="A1032" s="114" t="s">
        <v>1835</v>
      </c>
      <c r="B1032" s="114">
        <v>7</v>
      </c>
      <c r="C1032" s="116">
        <v>0.00673619728030381</v>
      </c>
      <c r="D1032" s="114" t="s">
        <v>1708</v>
      </c>
      <c r="E1032" s="114" t="b">
        <v>0</v>
      </c>
      <c r="F1032" s="114" t="b">
        <v>0</v>
      </c>
      <c r="G1032" s="114" t="b">
        <v>0</v>
      </c>
    </row>
    <row r="1033" spans="1:7" ht="15">
      <c r="A1033" s="114" t="s">
        <v>1959</v>
      </c>
      <c r="B1033" s="114">
        <v>6</v>
      </c>
      <c r="C1033" s="116">
        <v>0.004459341917335974</v>
      </c>
      <c r="D1033" s="114" t="s">
        <v>1708</v>
      </c>
      <c r="E1033" s="114" t="b">
        <v>0</v>
      </c>
      <c r="F1033" s="114" t="b">
        <v>0</v>
      </c>
      <c r="G1033" s="114" t="b">
        <v>0</v>
      </c>
    </row>
    <row r="1034" spans="1:7" ht="15">
      <c r="A1034" s="114" t="s">
        <v>1809</v>
      </c>
      <c r="B1034" s="114">
        <v>6</v>
      </c>
      <c r="C1034" s="116">
        <v>0.005004925919992305</v>
      </c>
      <c r="D1034" s="114" t="s">
        <v>1708</v>
      </c>
      <c r="E1034" s="114" t="b">
        <v>0</v>
      </c>
      <c r="F1034" s="114" t="b">
        <v>0</v>
      </c>
      <c r="G1034" s="114" t="b">
        <v>0</v>
      </c>
    </row>
    <row r="1035" spans="1:7" ht="15">
      <c r="A1035" s="114" t="s">
        <v>1792</v>
      </c>
      <c r="B1035" s="114">
        <v>6</v>
      </c>
      <c r="C1035" s="116">
        <v>0.005004925919992305</v>
      </c>
      <c r="D1035" s="114" t="s">
        <v>1708</v>
      </c>
      <c r="E1035" s="114" t="b">
        <v>0</v>
      </c>
      <c r="F1035" s="114" t="b">
        <v>0</v>
      </c>
      <c r="G1035" s="114" t="b">
        <v>0</v>
      </c>
    </row>
    <row r="1036" spans="1:7" ht="15">
      <c r="A1036" s="114" t="s">
        <v>1764</v>
      </c>
      <c r="B1036" s="114">
        <v>6</v>
      </c>
      <c r="C1036" s="116">
        <v>0.005773883383117551</v>
      </c>
      <c r="D1036" s="114" t="s">
        <v>1708</v>
      </c>
      <c r="E1036" s="114" t="b">
        <v>0</v>
      </c>
      <c r="F1036" s="114" t="b">
        <v>0</v>
      </c>
      <c r="G1036" s="114" t="b">
        <v>0</v>
      </c>
    </row>
    <row r="1037" spans="1:7" ht="15">
      <c r="A1037" s="114" t="s">
        <v>1961</v>
      </c>
      <c r="B1037" s="114">
        <v>6</v>
      </c>
      <c r="C1037" s="116">
        <v>0.005773883383117551</v>
      </c>
      <c r="D1037" s="114" t="s">
        <v>1708</v>
      </c>
      <c r="E1037" s="114" t="b">
        <v>0</v>
      </c>
      <c r="F1037" s="114" t="b">
        <v>0</v>
      </c>
      <c r="G1037" s="114" t="b">
        <v>0</v>
      </c>
    </row>
    <row r="1038" spans="1:7" ht="15">
      <c r="A1038" s="114" t="s">
        <v>1856</v>
      </c>
      <c r="B1038" s="114">
        <v>6</v>
      </c>
      <c r="C1038" s="116">
        <v>0.004459341917335974</v>
      </c>
      <c r="D1038" s="114" t="s">
        <v>1708</v>
      </c>
      <c r="E1038" s="114" t="b">
        <v>0</v>
      </c>
      <c r="F1038" s="114" t="b">
        <v>0</v>
      </c>
      <c r="G1038" s="114" t="b">
        <v>0</v>
      </c>
    </row>
    <row r="1039" spans="1:7" ht="15">
      <c r="A1039" s="114" t="s">
        <v>1898</v>
      </c>
      <c r="B1039" s="114">
        <v>6</v>
      </c>
      <c r="C1039" s="116">
        <v>0.005773883383117551</v>
      </c>
      <c r="D1039" s="114" t="s">
        <v>1708</v>
      </c>
      <c r="E1039" s="114" t="b">
        <v>0</v>
      </c>
      <c r="F1039" s="114" t="b">
        <v>0</v>
      </c>
      <c r="G1039" s="114" t="b">
        <v>0</v>
      </c>
    </row>
    <row r="1040" spans="1:7" ht="15">
      <c r="A1040" s="114" t="s">
        <v>1800</v>
      </c>
      <c r="B1040" s="114">
        <v>6</v>
      </c>
      <c r="C1040" s="116">
        <v>0.003690384454210728</v>
      </c>
      <c r="D1040" s="114" t="s">
        <v>1708</v>
      </c>
      <c r="E1040" s="114" t="b">
        <v>0</v>
      </c>
      <c r="F1040" s="114" t="b">
        <v>0</v>
      </c>
      <c r="G1040" s="114" t="b">
        <v>0</v>
      </c>
    </row>
    <row r="1041" spans="1:7" ht="15">
      <c r="A1041" s="114" t="s">
        <v>1970</v>
      </c>
      <c r="B1041" s="114">
        <v>6</v>
      </c>
      <c r="C1041" s="116">
        <v>0.005773883383117551</v>
      </c>
      <c r="D1041" s="114" t="s">
        <v>1708</v>
      </c>
      <c r="E1041" s="114" t="b">
        <v>0</v>
      </c>
      <c r="F1041" s="114" t="b">
        <v>0</v>
      </c>
      <c r="G1041" s="114" t="b">
        <v>0</v>
      </c>
    </row>
    <row r="1042" spans="1:7" ht="15">
      <c r="A1042" s="114" t="s">
        <v>1788</v>
      </c>
      <c r="B1042" s="114">
        <v>6</v>
      </c>
      <c r="C1042" s="116">
        <v>0.007088424848899128</v>
      </c>
      <c r="D1042" s="114" t="s">
        <v>1708</v>
      </c>
      <c r="E1042" s="114" t="b">
        <v>0</v>
      </c>
      <c r="F1042" s="114" t="b">
        <v>0</v>
      </c>
      <c r="G1042" s="114" t="b">
        <v>0</v>
      </c>
    </row>
    <row r="1043" spans="1:7" ht="15">
      <c r="A1043" s="114" t="s">
        <v>1838</v>
      </c>
      <c r="B1043" s="114">
        <v>5</v>
      </c>
      <c r="C1043" s="116">
        <v>0.004170771599993588</v>
      </c>
      <c r="D1043" s="114" t="s">
        <v>1708</v>
      </c>
      <c r="E1043" s="114" t="b">
        <v>0</v>
      </c>
      <c r="F1043" s="114" t="b">
        <v>0</v>
      </c>
      <c r="G1043" s="114" t="b">
        <v>0</v>
      </c>
    </row>
    <row r="1044" spans="1:7" ht="15">
      <c r="A1044" s="114" t="s">
        <v>1766</v>
      </c>
      <c r="B1044" s="114">
        <v>5</v>
      </c>
      <c r="C1044" s="116">
        <v>0.0033634617396720587</v>
      </c>
      <c r="D1044" s="114" t="s">
        <v>1708</v>
      </c>
      <c r="E1044" s="114" t="b">
        <v>0</v>
      </c>
      <c r="F1044" s="114" t="b">
        <v>1</v>
      </c>
      <c r="G1044" s="114" t="b">
        <v>0</v>
      </c>
    </row>
    <row r="1045" spans="1:7" ht="15">
      <c r="A1045" s="114" t="s">
        <v>1791</v>
      </c>
      <c r="B1045" s="114">
        <v>5</v>
      </c>
      <c r="C1045" s="116">
        <v>0.004170771599993588</v>
      </c>
      <c r="D1045" s="114" t="s">
        <v>1708</v>
      </c>
      <c r="E1045" s="114" t="b">
        <v>0</v>
      </c>
      <c r="F1045" s="114" t="b">
        <v>0</v>
      </c>
      <c r="G1045" s="114" t="b">
        <v>0</v>
      </c>
    </row>
    <row r="1046" spans="1:7" ht="15">
      <c r="A1046" s="114" t="s">
        <v>1867</v>
      </c>
      <c r="B1046" s="114">
        <v>5</v>
      </c>
      <c r="C1046" s="116">
        <v>0.005907020707415941</v>
      </c>
      <c r="D1046" s="114" t="s">
        <v>1708</v>
      </c>
      <c r="E1046" s="114" t="b">
        <v>0</v>
      </c>
      <c r="F1046" s="114" t="b">
        <v>0</v>
      </c>
      <c r="G1046" s="114" t="b">
        <v>0</v>
      </c>
    </row>
    <row r="1047" spans="1:7" ht="15">
      <c r="A1047" s="114" t="s">
        <v>1816</v>
      </c>
      <c r="B1047" s="114">
        <v>5</v>
      </c>
      <c r="C1047" s="116">
        <v>0.0033634617396720587</v>
      </c>
      <c r="D1047" s="114" t="s">
        <v>1708</v>
      </c>
      <c r="E1047" s="114" t="b">
        <v>0</v>
      </c>
      <c r="F1047" s="114" t="b">
        <v>0</v>
      </c>
      <c r="G1047" s="114" t="b">
        <v>0</v>
      </c>
    </row>
    <row r="1048" spans="1:7" ht="15">
      <c r="A1048" s="114" t="s">
        <v>1751</v>
      </c>
      <c r="B1048" s="114">
        <v>5</v>
      </c>
      <c r="C1048" s="116">
        <v>0.003716118264446645</v>
      </c>
      <c r="D1048" s="114" t="s">
        <v>1708</v>
      </c>
      <c r="E1048" s="114" t="b">
        <v>0</v>
      </c>
      <c r="F1048" s="114" t="b">
        <v>1</v>
      </c>
      <c r="G1048" s="114" t="b">
        <v>0</v>
      </c>
    </row>
    <row r="1049" spans="1:7" ht="15">
      <c r="A1049" s="114" t="s">
        <v>1771</v>
      </c>
      <c r="B1049" s="114">
        <v>5</v>
      </c>
      <c r="C1049" s="116">
        <v>0.004170771599993588</v>
      </c>
      <c r="D1049" s="114" t="s">
        <v>1708</v>
      </c>
      <c r="E1049" s="114" t="b">
        <v>0</v>
      </c>
      <c r="F1049" s="114" t="b">
        <v>1</v>
      </c>
      <c r="G1049" s="114" t="b">
        <v>0</v>
      </c>
    </row>
    <row r="1050" spans="1:7" ht="15">
      <c r="A1050" s="114" t="s">
        <v>1821</v>
      </c>
      <c r="B1050" s="114">
        <v>5</v>
      </c>
      <c r="C1050" s="116">
        <v>0.004170771599993588</v>
      </c>
      <c r="D1050" s="114" t="s">
        <v>1708</v>
      </c>
      <c r="E1050" s="114" t="b">
        <v>0</v>
      </c>
      <c r="F1050" s="114" t="b">
        <v>0</v>
      </c>
      <c r="G1050" s="114" t="b">
        <v>0</v>
      </c>
    </row>
    <row r="1051" spans="1:7" ht="15">
      <c r="A1051" s="114" t="s">
        <v>2012</v>
      </c>
      <c r="B1051" s="114">
        <v>5</v>
      </c>
      <c r="C1051" s="116">
        <v>0.005907020707415941</v>
      </c>
      <c r="D1051" s="114" t="s">
        <v>1708</v>
      </c>
      <c r="E1051" s="114" t="b">
        <v>0</v>
      </c>
      <c r="F1051" s="114" t="b">
        <v>0</v>
      </c>
      <c r="G1051" s="114" t="b">
        <v>0</v>
      </c>
    </row>
    <row r="1052" spans="1:7" ht="15">
      <c r="A1052" s="114" t="s">
        <v>1963</v>
      </c>
      <c r="B1052" s="114">
        <v>5</v>
      </c>
      <c r="C1052" s="116">
        <v>0.005907020707415941</v>
      </c>
      <c r="D1052" s="114" t="s">
        <v>1708</v>
      </c>
      <c r="E1052" s="114" t="b">
        <v>0</v>
      </c>
      <c r="F1052" s="114" t="b">
        <v>0</v>
      </c>
      <c r="G1052" s="114" t="b">
        <v>0</v>
      </c>
    </row>
    <row r="1053" spans="1:7" ht="15">
      <c r="A1053" s="114" t="s">
        <v>1902</v>
      </c>
      <c r="B1053" s="114">
        <v>4</v>
      </c>
      <c r="C1053" s="116">
        <v>0.0038492555887450347</v>
      </c>
      <c r="D1053" s="114" t="s">
        <v>1708</v>
      </c>
      <c r="E1053" s="114" t="b">
        <v>0</v>
      </c>
      <c r="F1053" s="114" t="b">
        <v>0</v>
      </c>
      <c r="G1053" s="114" t="b">
        <v>0</v>
      </c>
    </row>
    <row r="1054" spans="1:7" ht="15">
      <c r="A1054" s="114" t="s">
        <v>1745</v>
      </c>
      <c r="B1054" s="114">
        <v>4</v>
      </c>
      <c r="C1054" s="116">
        <v>0.0033366172799948707</v>
      </c>
      <c r="D1054" s="114" t="s">
        <v>1708</v>
      </c>
      <c r="E1054" s="114" t="b">
        <v>0</v>
      </c>
      <c r="F1054" s="114" t="b">
        <v>0</v>
      </c>
      <c r="G1054" s="114" t="b">
        <v>0</v>
      </c>
    </row>
    <row r="1055" spans="1:7" ht="15">
      <c r="A1055" s="114" t="s">
        <v>1785</v>
      </c>
      <c r="B1055" s="114">
        <v>4</v>
      </c>
      <c r="C1055" s="116">
        <v>0.0038492555887450347</v>
      </c>
      <c r="D1055" s="114" t="s">
        <v>1708</v>
      </c>
      <c r="E1055" s="114" t="b">
        <v>0</v>
      </c>
      <c r="F1055" s="114" t="b">
        <v>0</v>
      </c>
      <c r="G1055" s="114" t="b">
        <v>0</v>
      </c>
    </row>
    <row r="1056" spans="1:7" ht="15">
      <c r="A1056" s="114" t="s">
        <v>1789</v>
      </c>
      <c r="B1056" s="114">
        <v>4</v>
      </c>
      <c r="C1056" s="116">
        <v>0.004725616565932753</v>
      </c>
      <c r="D1056" s="114" t="s">
        <v>1708</v>
      </c>
      <c r="E1056" s="114" t="b">
        <v>0</v>
      </c>
      <c r="F1056" s="114" t="b">
        <v>0</v>
      </c>
      <c r="G1056" s="114" t="b">
        <v>0</v>
      </c>
    </row>
    <row r="1057" spans="1:7" ht="15">
      <c r="A1057" s="114" t="s">
        <v>1873</v>
      </c>
      <c r="B1057" s="114">
        <v>4</v>
      </c>
      <c r="C1057" s="116">
        <v>0.0033366172799948707</v>
      </c>
      <c r="D1057" s="114" t="s">
        <v>1708</v>
      </c>
      <c r="E1057" s="114" t="b">
        <v>0</v>
      </c>
      <c r="F1057" s="114" t="b">
        <v>0</v>
      </c>
      <c r="G1057" s="114" t="b">
        <v>0</v>
      </c>
    </row>
    <row r="1058" spans="1:7" ht="15">
      <c r="A1058" s="114" t="s">
        <v>1795</v>
      </c>
      <c r="B1058" s="114">
        <v>4</v>
      </c>
      <c r="C1058" s="116">
        <v>0.0033366172799948707</v>
      </c>
      <c r="D1058" s="114" t="s">
        <v>1708</v>
      </c>
      <c r="E1058" s="114" t="b">
        <v>0</v>
      </c>
      <c r="F1058" s="114" t="b">
        <v>1</v>
      </c>
      <c r="G1058" s="114" t="b">
        <v>0</v>
      </c>
    </row>
    <row r="1059" spans="1:7" ht="15">
      <c r="A1059" s="114" t="s">
        <v>1889</v>
      </c>
      <c r="B1059" s="114">
        <v>4</v>
      </c>
      <c r="C1059" s="116">
        <v>0.0029728946115573163</v>
      </c>
      <c r="D1059" s="114" t="s">
        <v>1708</v>
      </c>
      <c r="E1059" s="114" t="b">
        <v>0</v>
      </c>
      <c r="F1059" s="114" t="b">
        <v>0</v>
      </c>
      <c r="G1059" s="114" t="b">
        <v>0</v>
      </c>
    </row>
    <row r="1060" spans="1:7" ht="15">
      <c r="A1060" s="114" t="s">
        <v>1972</v>
      </c>
      <c r="B1060" s="114">
        <v>4</v>
      </c>
      <c r="C1060" s="116">
        <v>0.0038492555887450347</v>
      </c>
      <c r="D1060" s="114" t="s">
        <v>1708</v>
      </c>
      <c r="E1060" s="114" t="b">
        <v>0</v>
      </c>
      <c r="F1060" s="114" t="b">
        <v>0</v>
      </c>
      <c r="G1060" s="114" t="b">
        <v>0</v>
      </c>
    </row>
    <row r="1061" spans="1:7" ht="15">
      <c r="A1061" s="114" t="s">
        <v>1946</v>
      </c>
      <c r="B1061" s="114">
        <v>4</v>
      </c>
      <c r="C1061" s="116">
        <v>0.0038492555887450347</v>
      </c>
      <c r="D1061" s="114" t="s">
        <v>1708</v>
      </c>
      <c r="E1061" s="114" t="b">
        <v>0</v>
      </c>
      <c r="F1061" s="114" t="b">
        <v>0</v>
      </c>
      <c r="G1061" s="114" t="b">
        <v>0</v>
      </c>
    </row>
    <row r="1062" spans="1:7" ht="15">
      <c r="A1062" s="114" t="s">
        <v>1924</v>
      </c>
      <c r="B1062" s="114">
        <v>4</v>
      </c>
      <c r="C1062" s="116">
        <v>0.004725616565932753</v>
      </c>
      <c r="D1062" s="114" t="s">
        <v>1708</v>
      </c>
      <c r="E1062" s="114" t="b">
        <v>0</v>
      </c>
      <c r="F1062" s="114" t="b">
        <v>0</v>
      </c>
      <c r="G1062" s="114" t="b">
        <v>0</v>
      </c>
    </row>
    <row r="1063" spans="1:7" ht="15">
      <c r="A1063" s="114" t="s">
        <v>1878</v>
      </c>
      <c r="B1063" s="114">
        <v>4</v>
      </c>
      <c r="C1063" s="116">
        <v>0.0038492555887450347</v>
      </c>
      <c r="D1063" s="114" t="s">
        <v>1708</v>
      </c>
      <c r="E1063" s="114" t="b">
        <v>0</v>
      </c>
      <c r="F1063" s="114" t="b">
        <v>0</v>
      </c>
      <c r="G1063" s="114" t="b">
        <v>0</v>
      </c>
    </row>
    <row r="1064" spans="1:7" ht="15">
      <c r="A1064" s="114" t="s">
        <v>1793</v>
      </c>
      <c r="B1064" s="114">
        <v>4</v>
      </c>
      <c r="C1064" s="116">
        <v>0.0038492555887450347</v>
      </c>
      <c r="D1064" s="114" t="s">
        <v>1708</v>
      </c>
      <c r="E1064" s="114" t="b">
        <v>0</v>
      </c>
      <c r="F1064" s="114" t="b">
        <v>0</v>
      </c>
      <c r="G1064" s="114" t="b">
        <v>0</v>
      </c>
    </row>
    <row r="1065" spans="1:7" ht="15">
      <c r="A1065" s="114" t="s">
        <v>1823</v>
      </c>
      <c r="B1065" s="114">
        <v>4</v>
      </c>
      <c r="C1065" s="116">
        <v>0.0038492555887450347</v>
      </c>
      <c r="D1065" s="114" t="s">
        <v>1708</v>
      </c>
      <c r="E1065" s="114" t="b">
        <v>0</v>
      </c>
      <c r="F1065" s="114" t="b">
        <v>0</v>
      </c>
      <c r="G1065" s="114" t="b">
        <v>0</v>
      </c>
    </row>
    <row r="1066" spans="1:7" ht="15">
      <c r="A1066" s="114" t="s">
        <v>2081</v>
      </c>
      <c r="B1066" s="114">
        <v>4</v>
      </c>
      <c r="C1066" s="116">
        <v>0.004725616565932753</v>
      </c>
      <c r="D1066" s="114" t="s">
        <v>1708</v>
      </c>
      <c r="E1066" s="114" t="b">
        <v>0</v>
      </c>
      <c r="F1066" s="114" t="b">
        <v>0</v>
      </c>
      <c r="G1066" s="114" t="b">
        <v>0</v>
      </c>
    </row>
    <row r="1067" spans="1:7" ht="15">
      <c r="A1067" s="114" t="s">
        <v>2082</v>
      </c>
      <c r="B1067" s="114">
        <v>4</v>
      </c>
      <c r="C1067" s="116">
        <v>0.004725616565932753</v>
      </c>
      <c r="D1067" s="114" t="s">
        <v>1708</v>
      </c>
      <c r="E1067" s="114" t="b">
        <v>0</v>
      </c>
      <c r="F1067" s="114" t="b">
        <v>0</v>
      </c>
      <c r="G1067" s="114" t="b">
        <v>0</v>
      </c>
    </row>
    <row r="1068" spans="1:7" ht="15">
      <c r="A1068" s="114" t="s">
        <v>1846</v>
      </c>
      <c r="B1068" s="114">
        <v>4</v>
      </c>
      <c r="C1068" s="116">
        <v>0.004725616565932753</v>
      </c>
      <c r="D1068" s="114" t="s">
        <v>1708</v>
      </c>
      <c r="E1068" s="114" t="b">
        <v>0</v>
      </c>
      <c r="F1068" s="114" t="b">
        <v>0</v>
      </c>
      <c r="G1068" s="114" t="b">
        <v>0</v>
      </c>
    </row>
    <row r="1069" spans="1:7" ht="15">
      <c r="A1069" s="114" t="s">
        <v>1811</v>
      </c>
      <c r="B1069" s="114">
        <v>4</v>
      </c>
      <c r="C1069" s="116">
        <v>0.0038492555887450347</v>
      </c>
      <c r="D1069" s="114" t="s">
        <v>1708</v>
      </c>
      <c r="E1069" s="114" t="b">
        <v>0</v>
      </c>
      <c r="F1069" s="114" t="b">
        <v>0</v>
      </c>
      <c r="G1069" s="114" t="b">
        <v>0</v>
      </c>
    </row>
    <row r="1070" spans="1:7" ht="15">
      <c r="A1070" s="114" t="s">
        <v>1872</v>
      </c>
      <c r="B1070" s="114">
        <v>4</v>
      </c>
      <c r="C1070" s="116">
        <v>0.004725616565932753</v>
      </c>
      <c r="D1070" s="114" t="s">
        <v>1708</v>
      </c>
      <c r="E1070" s="114" t="b">
        <v>0</v>
      </c>
      <c r="F1070" s="114" t="b">
        <v>0</v>
      </c>
      <c r="G1070" s="114" t="b">
        <v>0</v>
      </c>
    </row>
    <row r="1071" spans="1:7" ht="15">
      <c r="A1071" s="114" t="s">
        <v>1787</v>
      </c>
      <c r="B1071" s="114">
        <v>3</v>
      </c>
      <c r="C1071" s="116">
        <v>0.0025024629599961525</v>
      </c>
      <c r="D1071" s="114" t="s">
        <v>1708</v>
      </c>
      <c r="E1071" s="114" t="b">
        <v>0</v>
      </c>
      <c r="F1071" s="114" t="b">
        <v>0</v>
      </c>
      <c r="G1071" s="114" t="b">
        <v>0</v>
      </c>
    </row>
    <row r="1072" spans="1:7" ht="15">
      <c r="A1072" s="114" t="s">
        <v>2005</v>
      </c>
      <c r="B1072" s="114">
        <v>3</v>
      </c>
      <c r="C1072" s="116">
        <v>0.0028869416915587756</v>
      </c>
      <c r="D1072" s="114" t="s">
        <v>1708</v>
      </c>
      <c r="E1072" s="114" t="b">
        <v>0</v>
      </c>
      <c r="F1072" s="114" t="b">
        <v>0</v>
      </c>
      <c r="G1072" s="114" t="b">
        <v>0</v>
      </c>
    </row>
    <row r="1073" spans="1:7" ht="15">
      <c r="A1073" s="114" t="s">
        <v>2190</v>
      </c>
      <c r="B1073" s="114">
        <v>3</v>
      </c>
      <c r="C1073" s="116">
        <v>0.003544212424449564</v>
      </c>
      <c r="D1073" s="114" t="s">
        <v>1708</v>
      </c>
      <c r="E1073" s="114" t="b">
        <v>0</v>
      </c>
      <c r="F1073" s="114" t="b">
        <v>0</v>
      </c>
      <c r="G1073" s="114" t="b">
        <v>0</v>
      </c>
    </row>
    <row r="1074" spans="1:7" ht="15">
      <c r="A1074" s="114" t="s">
        <v>1817</v>
      </c>
      <c r="B1074" s="114">
        <v>3</v>
      </c>
      <c r="C1074" s="116">
        <v>0.0025024629599961525</v>
      </c>
      <c r="D1074" s="114" t="s">
        <v>1708</v>
      </c>
      <c r="E1074" s="114" t="b">
        <v>0</v>
      </c>
      <c r="F1074" s="114" t="b">
        <v>0</v>
      </c>
      <c r="G1074" s="114" t="b">
        <v>0</v>
      </c>
    </row>
    <row r="1075" spans="1:7" ht="15">
      <c r="A1075" s="114" t="s">
        <v>1987</v>
      </c>
      <c r="B1075" s="114">
        <v>3</v>
      </c>
      <c r="C1075" s="116">
        <v>0.0028869416915587756</v>
      </c>
      <c r="D1075" s="114" t="s">
        <v>1708</v>
      </c>
      <c r="E1075" s="114" t="b">
        <v>0</v>
      </c>
      <c r="F1075" s="114" t="b">
        <v>0</v>
      </c>
      <c r="G1075" s="114" t="b">
        <v>0</v>
      </c>
    </row>
    <row r="1076" spans="1:7" ht="15">
      <c r="A1076" s="114" t="s">
        <v>1922</v>
      </c>
      <c r="B1076" s="114">
        <v>3</v>
      </c>
      <c r="C1076" s="116">
        <v>0.0025024629599961525</v>
      </c>
      <c r="D1076" s="114" t="s">
        <v>1708</v>
      </c>
      <c r="E1076" s="114" t="b">
        <v>0</v>
      </c>
      <c r="F1076" s="114" t="b">
        <v>0</v>
      </c>
      <c r="G1076" s="114" t="b">
        <v>0</v>
      </c>
    </row>
    <row r="1077" spans="1:7" ht="15">
      <c r="A1077" s="114" t="s">
        <v>1808</v>
      </c>
      <c r="B1077" s="114">
        <v>3</v>
      </c>
      <c r="C1077" s="116">
        <v>0.0025024629599961525</v>
      </c>
      <c r="D1077" s="114" t="s">
        <v>1708</v>
      </c>
      <c r="E1077" s="114" t="b">
        <v>0</v>
      </c>
      <c r="F1077" s="114" t="b">
        <v>0</v>
      </c>
      <c r="G1077" s="114" t="b">
        <v>0</v>
      </c>
    </row>
    <row r="1078" spans="1:7" ht="15">
      <c r="A1078" s="114" t="s">
        <v>1900</v>
      </c>
      <c r="B1078" s="114">
        <v>3</v>
      </c>
      <c r="C1078" s="116">
        <v>0.0025024629599961525</v>
      </c>
      <c r="D1078" s="114" t="s">
        <v>1708</v>
      </c>
      <c r="E1078" s="114" t="b">
        <v>0</v>
      </c>
      <c r="F1078" s="114" t="b">
        <v>0</v>
      </c>
      <c r="G1078" s="114" t="b">
        <v>0</v>
      </c>
    </row>
    <row r="1079" spans="1:7" ht="15">
      <c r="A1079" s="114" t="s">
        <v>1887</v>
      </c>
      <c r="B1079" s="114">
        <v>3</v>
      </c>
      <c r="C1079" s="116">
        <v>0.0025024629599961525</v>
      </c>
      <c r="D1079" s="114" t="s">
        <v>1708</v>
      </c>
      <c r="E1079" s="114" t="b">
        <v>0</v>
      </c>
      <c r="F1079" s="114" t="b">
        <v>0</v>
      </c>
      <c r="G1079" s="114" t="b">
        <v>0</v>
      </c>
    </row>
    <row r="1080" spans="1:7" ht="15">
      <c r="A1080" s="114" t="s">
        <v>1864</v>
      </c>
      <c r="B1080" s="114">
        <v>3</v>
      </c>
      <c r="C1080" s="116">
        <v>0.0025024629599961525</v>
      </c>
      <c r="D1080" s="114" t="s">
        <v>1708</v>
      </c>
      <c r="E1080" s="114" t="b">
        <v>0</v>
      </c>
      <c r="F1080" s="114" t="b">
        <v>0</v>
      </c>
      <c r="G1080" s="114" t="b">
        <v>0</v>
      </c>
    </row>
    <row r="1081" spans="1:7" ht="15">
      <c r="A1081" s="114" t="s">
        <v>1897</v>
      </c>
      <c r="B1081" s="114">
        <v>3</v>
      </c>
      <c r="C1081" s="116">
        <v>0.0025024629599961525</v>
      </c>
      <c r="D1081" s="114" t="s">
        <v>1708</v>
      </c>
      <c r="E1081" s="114" t="b">
        <v>0</v>
      </c>
      <c r="F1081" s="114" t="b">
        <v>0</v>
      </c>
      <c r="G1081" s="114" t="b">
        <v>0</v>
      </c>
    </row>
    <row r="1082" spans="1:7" ht="15">
      <c r="A1082" s="114" t="s">
        <v>1798</v>
      </c>
      <c r="B1082" s="114">
        <v>3</v>
      </c>
      <c r="C1082" s="116">
        <v>0.0025024629599961525</v>
      </c>
      <c r="D1082" s="114" t="s">
        <v>1708</v>
      </c>
      <c r="E1082" s="114" t="b">
        <v>0</v>
      </c>
      <c r="F1082" s="114" t="b">
        <v>0</v>
      </c>
      <c r="G1082" s="114" t="b">
        <v>0</v>
      </c>
    </row>
    <row r="1083" spans="1:7" ht="15">
      <c r="A1083" s="114" t="s">
        <v>1784</v>
      </c>
      <c r="B1083" s="114">
        <v>3</v>
      </c>
      <c r="C1083" s="116">
        <v>0.0025024629599961525</v>
      </c>
      <c r="D1083" s="114" t="s">
        <v>1708</v>
      </c>
      <c r="E1083" s="114" t="b">
        <v>0</v>
      </c>
      <c r="F1083" s="114" t="b">
        <v>0</v>
      </c>
      <c r="G1083" s="114" t="b">
        <v>0</v>
      </c>
    </row>
    <row r="1084" spans="1:7" ht="15">
      <c r="A1084" s="114" t="s">
        <v>2189</v>
      </c>
      <c r="B1084" s="114">
        <v>3</v>
      </c>
      <c r="C1084" s="116">
        <v>0.0025024629599961525</v>
      </c>
      <c r="D1084" s="114" t="s">
        <v>1708</v>
      </c>
      <c r="E1084" s="114" t="b">
        <v>0</v>
      </c>
      <c r="F1084" s="114" t="b">
        <v>0</v>
      </c>
      <c r="G1084" s="114" t="b">
        <v>0</v>
      </c>
    </row>
    <row r="1085" spans="1:7" ht="15">
      <c r="A1085" s="114" t="s">
        <v>2142</v>
      </c>
      <c r="B1085" s="114">
        <v>3</v>
      </c>
      <c r="C1085" s="116">
        <v>0.003544212424449564</v>
      </c>
      <c r="D1085" s="114" t="s">
        <v>1708</v>
      </c>
      <c r="E1085" s="114" t="b">
        <v>0</v>
      </c>
      <c r="F1085" s="114" t="b">
        <v>0</v>
      </c>
      <c r="G1085" s="114" t="b">
        <v>0</v>
      </c>
    </row>
    <row r="1086" spans="1:7" ht="15">
      <c r="A1086" s="114" t="s">
        <v>2143</v>
      </c>
      <c r="B1086" s="114">
        <v>3</v>
      </c>
      <c r="C1086" s="116">
        <v>0.0028869416915587756</v>
      </c>
      <c r="D1086" s="114" t="s">
        <v>1708</v>
      </c>
      <c r="E1086" s="114" t="b">
        <v>0</v>
      </c>
      <c r="F1086" s="114" t="b">
        <v>0</v>
      </c>
      <c r="G1086" s="114" t="b">
        <v>0</v>
      </c>
    </row>
    <row r="1087" spans="1:7" ht="15">
      <c r="A1087" s="114" t="s">
        <v>1986</v>
      </c>
      <c r="B1087" s="114">
        <v>3</v>
      </c>
      <c r="C1087" s="116">
        <v>0.0025024629599961525</v>
      </c>
      <c r="D1087" s="114" t="s">
        <v>1708</v>
      </c>
      <c r="E1087" s="114" t="b">
        <v>0</v>
      </c>
      <c r="F1087" s="114" t="b">
        <v>1</v>
      </c>
      <c r="G1087" s="114" t="b">
        <v>0</v>
      </c>
    </row>
    <row r="1088" spans="1:7" ht="15">
      <c r="A1088" s="114" t="s">
        <v>1998</v>
      </c>
      <c r="B1088" s="114">
        <v>3</v>
      </c>
      <c r="C1088" s="116">
        <v>0.003544212424449564</v>
      </c>
      <c r="D1088" s="114" t="s">
        <v>1708</v>
      </c>
      <c r="E1088" s="114" t="b">
        <v>1</v>
      </c>
      <c r="F1088" s="114" t="b">
        <v>0</v>
      </c>
      <c r="G1088" s="114" t="b">
        <v>0</v>
      </c>
    </row>
    <row r="1089" spans="1:7" ht="15">
      <c r="A1089" s="114" t="s">
        <v>1807</v>
      </c>
      <c r="B1089" s="114">
        <v>3</v>
      </c>
      <c r="C1089" s="116">
        <v>0.0028869416915587756</v>
      </c>
      <c r="D1089" s="114" t="s">
        <v>1708</v>
      </c>
      <c r="E1089" s="114" t="b">
        <v>0</v>
      </c>
      <c r="F1089" s="114" t="b">
        <v>0</v>
      </c>
      <c r="G1089" s="114" t="b">
        <v>0</v>
      </c>
    </row>
    <row r="1090" spans="1:7" ht="15">
      <c r="A1090" s="114" t="s">
        <v>1971</v>
      </c>
      <c r="B1090" s="114">
        <v>3</v>
      </c>
      <c r="C1090" s="116">
        <v>0.0028869416915587756</v>
      </c>
      <c r="D1090" s="114" t="s">
        <v>1708</v>
      </c>
      <c r="E1090" s="114" t="b">
        <v>0</v>
      </c>
      <c r="F1090" s="114" t="b">
        <v>0</v>
      </c>
      <c r="G1090" s="114" t="b">
        <v>0</v>
      </c>
    </row>
    <row r="1091" spans="1:7" ht="15">
      <c r="A1091" s="114" t="s">
        <v>2013</v>
      </c>
      <c r="B1091" s="114">
        <v>3</v>
      </c>
      <c r="C1091" s="116">
        <v>0.0028869416915587756</v>
      </c>
      <c r="D1091" s="114" t="s">
        <v>1708</v>
      </c>
      <c r="E1091" s="114" t="b">
        <v>0</v>
      </c>
      <c r="F1091" s="114" t="b">
        <v>0</v>
      </c>
      <c r="G1091" s="114" t="b">
        <v>0</v>
      </c>
    </row>
    <row r="1092" spans="1:7" ht="15">
      <c r="A1092" s="114" t="s">
        <v>1917</v>
      </c>
      <c r="B1092" s="114">
        <v>3</v>
      </c>
      <c r="C1092" s="116">
        <v>0.0028869416915587756</v>
      </c>
      <c r="D1092" s="114" t="s">
        <v>1708</v>
      </c>
      <c r="E1092" s="114" t="b">
        <v>0</v>
      </c>
      <c r="F1092" s="114" t="b">
        <v>0</v>
      </c>
      <c r="G1092" s="114" t="b">
        <v>0</v>
      </c>
    </row>
    <row r="1093" spans="1:7" ht="15">
      <c r="A1093" s="114" t="s">
        <v>2207</v>
      </c>
      <c r="B1093" s="114">
        <v>3</v>
      </c>
      <c r="C1093" s="116">
        <v>0.003544212424449564</v>
      </c>
      <c r="D1093" s="114" t="s">
        <v>1708</v>
      </c>
      <c r="E1093" s="114" t="b">
        <v>0</v>
      </c>
      <c r="F1093" s="114" t="b">
        <v>0</v>
      </c>
      <c r="G1093" s="114" t="b">
        <v>0</v>
      </c>
    </row>
    <row r="1094" spans="1:7" ht="15">
      <c r="A1094" s="114" t="s">
        <v>2208</v>
      </c>
      <c r="B1094" s="114">
        <v>3</v>
      </c>
      <c r="C1094" s="116">
        <v>0.003544212424449564</v>
      </c>
      <c r="D1094" s="114" t="s">
        <v>1708</v>
      </c>
      <c r="E1094" s="114" t="b">
        <v>0</v>
      </c>
      <c r="F1094" s="114" t="b">
        <v>0</v>
      </c>
      <c r="G1094" s="114" t="b">
        <v>0</v>
      </c>
    </row>
    <row r="1095" spans="1:7" ht="15">
      <c r="A1095" s="114" t="s">
        <v>2004</v>
      </c>
      <c r="B1095" s="114">
        <v>3</v>
      </c>
      <c r="C1095" s="116">
        <v>0.0025024629599961525</v>
      </c>
      <c r="D1095" s="114" t="s">
        <v>1708</v>
      </c>
      <c r="E1095" s="114" t="b">
        <v>0</v>
      </c>
      <c r="F1095" s="114" t="b">
        <v>0</v>
      </c>
      <c r="G1095" s="114" t="b">
        <v>0</v>
      </c>
    </row>
    <row r="1096" spans="1:7" ht="15">
      <c r="A1096" s="114" t="s">
        <v>2206</v>
      </c>
      <c r="B1096" s="114">
        <v>3</v>
      </c>
      <c r="C1096" s="116">
        <v>0.003544212424449564</v>
      </c>
      <c r="D1096" s="114" t="s">
        <v>1708</v>
      </c>
      <c r="E1096" s="114" t="b">
        <v>0</v>
      </c>
      <c r="F1096" s="114" t="b">
        <v>0</v>
      </c>
      <c r="G1096" s="114" t="b">
        <v>0</v>
      </c>
    </row>
    <row r="1097" spans="1:7" ht="15">
      <c r="A1097" s="114" t="s">
        <v>1915</v>
      </c>
      <c r="B1097" s="114">
        <v>3</v>
      </c>
      <c r="C1097" s="116">
        <v>0.003544212424449564</v>
      </c>
      <c r="D1097" s="114" t="s">
        <v>1708</v>
      </c>
      <c r="E1097" s="114" t="b">
        <v>0</v>
      </c>
      <c r="F1097" s="114" t="b">
        <v>0</v>
      </c>
      <c r="G1097" s="114" t="b">
        <v>0</v>
      </c>
    </row>
    <row r="1098" spans="1:7" ht="15">
      <c r="A1098" s="114" t="s">
        <v>2201</v>
      </c>
      <c r="B1098" s="114">
        <v>3</v>
      </c>
      <c r="C1098" s="116">
        <v>0.003544212424449564</v>
      </c>
      <c r="D1098" s="114" t="s">
        <v>1708</v>
      </c>
      <c r="E1098" s="114" t="b">
        <v>0</v>
      </c>
      <c r="F1098" s="114" t="b">
        <v>0</v>
      </c>
      <c r="G1098" s="114" t="b">
        <v>0</v>
      </c>
    </row>
    <row r="1099" spans="1:7" ht="15">
      <c r="A1099" s="114" t="s">
        <v>2202</v>
      </c>
      <c r="B1099" s="114">
        <v>3</v>
      </c>
      <c r="C1099" s="116">
        <v>0.003544212424449564</v>
      </c>
      <c r="D1099" s="114" t="s">
        <v>1708</v>
      </c>
      <c r="E1099" s="114" t="b">
        <v>0</v>
      </c>
      <c r="F1099" s="114" t="b">
        <v>0</v>
      </c>
      <c r="G1099" s="114" t="b">
        <v>0</v>
      </c>
    </row>
    <row r="1100" spans="1:7" ht="15">
      <c r="A1100" s="114" t="s">
        <v>1996</v>
      </c>
      <c r="B1100" s="114">
        <v>3</v>
      </c>
      <c r="C1100" s="116">
        <v>0.003544212424449564</v>
      </c>
      <c r="D1100" s="114" t="s">
        <v>1708</v>
      </c>
      <c r="E1100" s="114" t="b">
        <v>0</v>
      </c>
      <c r="F1100" s="114" t="b">
        <v>1</v>
      </c>
      <c r="G1100" s="114" t="b">
        <v>0</v>
      </c>
    </row>
    <row r="1101" spans="1:7" ht="15">
      <c r="A1101" s="114" t="s">
        <v>2356</v>
      </c>
      <c r="B1101" s="114">
        <v>2</v>
      </c>
      <c r="C1101" s="116">
        <v>0.0019246277943725174</v>
      </c>
      <c r="D1101" s="114" t="s">
        <v>1708</v>
      </c>
      <c r="E1101" s="114" t="b">
        <v>0</v>
      </c>
      <c r="F1101" s="114" t="b">
        <v>0</v>
      </c>
      <c r="G1101" s="114" t="b">
        <v>0</v>
      </c>
    </row>
    <row r="1102" spans="1:7" ht="15">
      <c r="A1102" s="114" t="s">
        <v>2174</v>
      </c>
      <c r="B1102" s="114">
        <v>2</v>
      </c>
      <c r="C1102" s="116">
        <v>0.0019246277943725174</v>
      </c>
      <c r="D1102" s="114" t="s">
        <v>1708</v>
      </c>
      <c r="E1102" s="114" t="b">
        <v>0</v>
      </c>
      <c r="F1102" s="114" t="b">
        <v>0</v>
      </c>
      <c r="G1102" s="114" t="b">
        <v>0</v>
      </c>
    </row>
    <row r="1103" spans="1:7" ht="15">
      <c r="A1103" s="114" t="s">
        <v>1802</v>
      </c>
      <c r="B1103" s="114">
        <v>2</v>
      </c>
      <c r="C1103" s="116">
        <v>0.0023628082829663766</v>
      </c>
      <c r="D1103" s="114" t="s">
        <v>1708</v>
      </c>
      <c r="E1103" s="114" t="b">
        <v>0</v>
      </c>
      <c r="F1103" s="114" t="b">
        <v>0</v>
      </c>
      <c r="G1103" s="114" t="b">
        <v>0</v>
      </c>
    </row>
    <row r="1104" spans="1:7" ht="15">
      <c r="A1104" s="114" t="s">
        <v>1796</v>
      </c>
      <c r="B1104" s="114">
        <v>2</v>
      </c>
      <c r="C1104" s="116">
        <v>0.0023628082829663766</v>
      </c>
      <c r="D1104" s="114" t="s">
        <v>1708</v>
      </c>
      <c r="E1104" s="114" t="b">
        <v>0</v>
      </c>
      <c r="F1104" s="114" t="b">
        <v>0</v>
      </c>
      <c r="G1104" s="114" t="b">
        <v>0</v>
      </c>
    </row>
    <row r="1105" spans="1:7" ht="15">
      <c r="A1105" s="114" t="s">
        <v>1854</v>
      </c>
      <c r="B1105" s="114">
        <v>2</v>
      </c>
      <c r="C1105" s="116">
        <v>0.0023628082829663766</v>
      </c>
      <c r="D1105" s="114" t="s">
        <v>1708</v>
      </c>
      <c r="E1105" s="114" t="b">
        <v>0</v>
      </c>
      <c r="F1105" s="114" t="b">
        <v>0</v>
      </c>
      <c r="G1105" s="114" t="b">
        <v>0</v>
      </c>
    </row>
    <row r="1106" spans="1:7" ht="15">
      <c r="A1106" s="114" t="s">
        <v>1855</v>
      </c>
      <c r="B1106" s="114">
        <v>2</v>
      </c>
      <c r="C1106" s="116">
        <v>0.0023628082829663766</v>
      </c>
      <c r="D1106" s="114" t="s">
        <v>1708</v>
      </c>
      <c r="E1106" s="114" t="b">
        <v>0</v>
      </c>
      <c r="F1106" s="114" t="b">
        <v>0</v>
      </c>
      <c r="G1106" s="114" t="b">
        <v>0</v>
      </c>
    </row>
    <row r="1107" spans="1:7" ht="15">
      <c r="A1107" s="114" t="s">
        <v>1805</v>
      </c>
      <c r="B1107" s="114">
        <v>2</v>
      </c>
      <c r="C1107" s="116">
        <v>0.0019246277943725174</v>
      </c>
      <c r="D1107" s="114" t="s">
        <v>1708</v>
      </c>
      <c r="E1107" s="114" t="b">
        <v>0</v>
      </c>
      <c r="F1107" s="114" t="b">
        <v>0</v>
      </c>
      <c r="G1107" s="114" t="b">
        <v>0</v>
      </c>
    </row>
    <row r="1108" spans="1:7" ht="15">
      <c r="A1108" s="114" t="s">
        <v>1943</v>
      </c>
      <c r="B1108" s="114">
        <v>2</v>
      </c>
      <c r="C1108" s="116">
        <v>0.0019246277943725174</v>
      </c>
      <c r="D1108" s="114" t="s">
        <v>1708</v>
      </c>
      <c r="E1108" s="114" t="b">
        <v>0</v>
      </c>
      <c r="F1108" s="114" t="b">
        <v>0</v>
      </c>
      <c r="G1108" s="114" t="b">
        <v>0</v>
      </c>
    </row>
    <row r="1109" spans="1:7" ht="15">
      <c r="A1109" s="114" t="s">
        <v>2347</v>
      </c>
      <c r="B1109" s="114">
        <v>2</v>
      </c>
      <c r="C1109" s="116">
        <v>0.0023628082829663766</v>
      </c>
      <c r="D1109" s="114" t="s">
        <v>1708</v>
      </c>
      <c r="E1109" s="114" t="b">
        <v>0</v>
      </c>
      <c r="F1109" s="114" t="b">
        <v>0</v>
      </c>
      <c r="G1109" s="114" t="b">
        <v>0</v>
      </c>
    </row>
    <row r="1110" spans="1:7" ht="15">
      <c r="A1110" s="114" t="s">
        <v>1935</v>
      </c>
      <c r="B1110" s="114">
        <v>2</v>
      </c>
      <c r="C1110" s="116">
        <v>0.0019246277943725174</v>
      </c>
      <c r="D1110" s="114" t="s">
        <v>1708</v>
      </c>
      <c r="E1110" s="114" t="b">
        <v>0</v>
      </c>
      <c r="F1110" s="114" t="b">
        <v>0</v>
      </c>
      <c r="G1110" s="114" t="b">
        <v>0</v>
      </c>
    </row>
    <row r="1111" spans="1:7" ht="15">
      <c r="A1111" s="114" t="s">
        <v>2133</v>
      </c>
      <c r="B1111" s="114">
        <v>2</v>
      </c>
      <c r="C1111" s="116">
        <v>0.0019246277943725174</v>
      </c>
      <c r="D1111" s="114" t="s">
        <v>1708</v>
      </c>
      <c r="E1111" s="114" t="b">
        <v>0</v>
      </c>
      <c r="F1111" s="114" t="b">
        <v>0</v>
      </c>
      <c r="G1111" s="114" t="b">
        <v>0</v>
      </c>
    </row>
    <row r="1112" spans="1:7" ht="15">
      <c r="A1112" s="114" t="s">
        <v>2063</v>
      </c>
      <c r="B1112" s="114">
        <v>2</v>
      </c>
      <c r="C1112" s="116">
        <v>0.0019246277943725174</v>
      </c>
      <c r="D1112" s="114" t="s">
        <v>1708</v>
      </c>
      <c r="E1112" s="114" t="b">
        <v>0</v>
      </c>
      <c r="F1112" s="114" t="b">
        <v>0</v>
      </c>
      <c r="G1112" s="114" t="b">
        <v>0</v>
      </c>
    </row>
    <row r="1113" spans="1:7" ht="15">
      <c r="A1113" s="114" t="s">
        <v>1761</v>
      </c>
      <c r="B1113" s="114">
        <v>2</v>
      </c>
      <c r="C1113" s="116">
        <v>0.0019246277943725174</v>
      </c>
      <c r="D1113" s="114" t="s">
        <v>1708</v>
      </c>
      <c r="E1113" s="114" t="b">
        <v>0</v>
      </c>
      <c r="F1113" s="114" t="b">
        <v>0</v>
      </c>
      <c r="G1113" s="114" t="b">
        <v>0</v>
      </c>
    </row>
    <row r="1114" spans="1:7" ht="15">
      <c r="A1114" s="114" t="s">
        <v>2134</v>
      </c>
      <c r="B1114" s="114">
        <v>2</v>
      </c>
      <c r="C1114" s="116">
        <v>0.0023628082829663766</v>
      </c>
      <c r="D1114" s="114" t="s">
        <v>1708</v>
      </c>
      <c r="E1114" s="114" t="b">
        <v>0</v>
      </c>
      <c r="F1114" s="114" t="b">
        <v>0</v>
      </c>
      <c r="G1114" s="114" t="b">
        <v>0</v>
      </c>
    </row>
    <row r="1115" spans="1:7" ht="15">
      <c r="A1115" s="114" t="s">
        <v>2284</v>
      </c>
      <c r="B1115" s="114">
        <v>2</v>
      </c>
      <c r="C1115" s="116">
        <v>0.0023628082829663766</v>
      </c>
      <c r="D1115" s="114" t="s">
        <v>1708</v>
      </c>
      <c r="E1115" s="114" t="b">
        <v>0</v>
      </c>
      <c r="F1115" s="114" t="b">
        <v>0</v>
      </c>
      <c r="G1115" s="114" t="b">
        <v>0</v>
      </c>
    </row>
    <row r="1116" spans="1:7" ht="15">
      <c r="A1116" s="114" t="s">
        <v>1960</v>
      </c>
      <c r="B1116" s="114">
        <v>2</v>
      </c>
      <c r="C1116" s="116">
        <v>0.0019246277943725174</v>
      </c>
      <c r="D1116" s="114" t="s">
        <v>1708</v>
      </c>
      <c r="E1116" s="114" t="b">
        <v>0</v>
      </c>
      <c r="F1116" s="114" t="b">
        <v>1</v>
      </c>
      <c r="G1116" s="114" t="b">
        <v>0</v>
      </c>
    </row>
    <row r="1117" spans="1:7" ht="15">
      <c r="A1117" s="114" t="s">
        <v>2041</v>
      </c>
      <c r="B1117" s="114">
        <v>2</v>
      </c>
      <c r="C1117" s="116">
        <v>0.0019246277943725174</v>
      </c>
      <c r="D1117" s="114" t="s">
        <v>1708</v>
      </c>
      <c r="E1117" s="114" t="b">
        <v>0</v>
      </c>
      <c r="F1117" s="114" t="b">
        <v>0</v>
      </c>
      <c r="G1117" s="114" t="b">
        <v>0</v>
      </c>
    </row>
    <row r="1118" spans="1:7" ht="15">
      <c r="A1118" s="114" t="s">
        <v>2138</v>
      </c>
      <c r="B1118" s="114">
        <v>2</v>
      </c>
      <c r="C1118" s="116">
        <v>0.0019246277943725174</v>
      </c>
      <c r="D1118" s="114" t="s">
        <v>1708</v>
      </c>
      <c r="E1118" s="114" t="b">
        <v>0</v>
      </c>
      <c r="F1118" s="114" t="b">
        <v>0</v>
      </c>
      <c r="G1118" s="114" t="b">
        <v>0</v>
      </c>
    </row>
    <row r="1119" spans="1:7" ht="15">
      <c r="A1119" s="114" t="s">
        <v>1825</v>
      </c>
      <c r="B1119" s="114">
        <v>2</v>
      </c>
      <c r="C1119" s="116">
        <v>0.0019246277943725174</v>
      </c>
      <c r="D1119" s="114" t="s">
        <v>1708</v>
      </c>
      <c r="E1119" s="114" t="b">
        <v>0</v>
      </c>
      <c r="F1119" s="114" t="b">
        <v>0</v>
      </c>
      <c r="G1119" s="114" t="b">
        <v>0</v>
      </c>
    </row>
    <row r="1120" spans="1:7" ht="15">
      <c r="A1120" s="114" t="s">
        <v>1958</v>
      </c>
      <c r="B1120" s="114">
        <v>2</v>
      </c>
      <c r="C1120" s="116">
        <v>0.0019246277943725174</v>
      </c>
      <c r="D1120" s="114" t="s">
        <v>1708</v>
      </c>
      <c r="E1120" s="114" t="b">
        <v>0</v>
      </c>
      <c r="F1120" s="114" t="b">
        <v>0</v>
      </c>
      <c r="G1120" s="114" t="b">
        <v>0</v>
      </c>
    </row>
    <row r="1121" spans="1:7" ht="15">
      <c r="A1121" s="114" t="s">
        <v>1804</v>
      </c>
      <c r="B1121" s="114">
        <v>2</v>
      </c>
      <c r="C1121" s="116">
        <v>0.0019246277943725174</v>
      </c>
      <c r="D1121" s="114" t="s">
        <v>1708</v>
      </c>
      <c r="E1121" s="114" t="b">
        <v>0</v>
      </c>
      <c r="F1121" s="114" t="b">
        <v>0</v>
      </c>
      <c r="G1121" s="114" t="b">
        <v>0</v>
      </c>
    </row>
    <row r="1122" spans="1:7" ht="15">
      <c r="A1122" s="114" t="s">
        <v>1755</v>
      </c>
      <c r="B1122" s="114">
        <v>2</v>
      </c>
      <c r="C1122" s="116">
        <v>0.0019246277943725174</v>
      </c>
      <c r="D1122" s="114" t="s">
        <v>1708</v>
      </c>
      <c r="E1122" s="114" t="b">
        <v>0</v>
      </c>
      <c r="F1122" s="114" t="b">
        <v>0</v>
      </c>
      <c r="G1122" s="114" t="b">
        <v>0</v>
      </c>
    </row>
    <row r="1123" spans="1:7" ht="15">
      <c r="A1123" s="114" t="s">
        <v>1891</v>
      </c>
      <c r="B1123" s="114">
        <v>2</v>
      </c>
      <c r="C1123" s="116">
        <v>0.0019246277943725174</v>
      </c>
      <c r="D1123" s="114" t="s">
        <v>1708</v>
      </c>
      <c r="E1123" s="114" t="b">
        <v>0</v>
      </c>
      <c r="F1123" s="114" t="b">
        <v>0</v>
      </c>
      <c r="G1123" s="114" t="b">
        <v>0</v>
      </c>
    </row>
    <row r="1124" spans="1:7" ht="15">
      <c r="A1124" s="114" t="s">
        <v>1911</v>
      </c>
      <c r="B1124" s="114">
        <v>2</v>
      </c>
      <c r="C1124" s="116">
        <v>0.0019246277943725174</v>
      </c>
      <c r="D1124" s="114" t="s">
        <v>1708</v>
      </c>
      <c r="E1124" s="114" t="b">
        <v>0</v>
      </c>
      <c r="F1124" s="114" t="b">
        <v>0</v>
      </c>
      <c r="G1124" s="114" t="b">
        <v>0</v>
      </c>
    </row>
    <row r="1125" spans="1:7" ht="15">
      <c r="A1125" s="114" t="s">
        <v>1934</v>
      </c>
      <c r="B1125" s="114">
        <v>2</v>
      </c>
      <c r="C1125" s="116">
        <v>0.0019246277943725174</v>
      </c>
      <c r="D1125" s="114" t="s">
        <v>1708</v>
      </c>
      <c r="E1125" s="114" t="b">
        <v>0</v>
      </c>
      <c r="F1125" s="114" t="b">
        <v>0</v>
      </c>
      <c r="G1125" s="114" t="b">
        <v>0</v>
      </c>
    </row>
    <row r="1126" spans="1:7" ht="15">
      <c r="A1126" s="114" t="s">
        <v>2086</v>
      </c>
      <c r="B1126" s="114">
        <v>2</v>
      </c>
      <c r="C1126" s="116">
        <v>0.0023628082829663766</v>
      </c>
      <c r="D1126" s="114" t="s">
        <v>1708</v>
      </c>
      <c r="E1126" s="114" t="b">
        <v>0</v>
      </c>
      <c r="F1126" s="114" t="b">
        <v>0</v>
      </c>
      <c r="G1126" s="114" t="b">
        <v>0</v>
      </c>
    </row>
    <row r="1127" spans="1:7" ht="15">
      <c r="A1127" s="114" t="s">
        <v>2014</v>
      </c>
      <c r="B1127" s="114">
        <v>2</v>
      </c>
      <c r="C1127" s="116">
        <v>0.0019246277943725174</v>
      </c>
      <c r="D1127" s="114" t="s">
        <v>1708</v>
      </c>
      <c r="E1127" s="114" t="b">
        <v>0</v>
      </c>
      <c r="F1127" s="114" t="b">
        <v>0</v>
      </c>
      <c r="G1127" s="114" t="b">
        <v>0</v>
      </c>
    </row>
    <row r="1128" spans="1:7" ht="15">
      <c r="A1128" s="114" t="s">
        <v>2204</v>
      </c>
      <c r="B1128" s="114">
        <v>2</v>
      </c>
      <c r="C1128" s="116">
        <v>0.0019246277943725174</v>
      </c>
      <c r="D1128" s="114" t="s">
        <v>1708</v>
      </c>
      <c r="E1128" s="114" t="b">
        <v>0</v>
      </c>
      <c r="F1128" s="114" t="b">
        <v>0</v>
      </c>
      <c r="G1128" s="114" t="b">
        <v>0</v>
      </c>
    </row>
    <row r="1129" spans="1:7" ht="15">
      <c r="A1129" s="114" t="s">
        <v>1799</v>
      </c>
      <c r="B1129" s="114">
        <v>2</v>
      </c>
      <c r="C1129" s="116">
        <v>0.0019246277943725174</v>
      </c>
      <c r="D1129" s="114" t="s">
        <v>1708</v>
      </c>
      <c r="E1129" s="114" t="b">
        <v>0</v>
      </c>
      <c r="F1129" s="114" t="b">
        <v>0</v>
      </c>
      <c r="G1129" s="114" t="b">
        <v>0</v>
      </c>
    </row>
    <row r="1130" spans="1:7" ht="15">
      <c r="A1130" s="114" t="s">
        <v>2205</v>
      </c>
      <c r="B1130" s="114">
        <v>2</v>
      </c>
      <c r="C1130" s="116">
        <v>0.0019246277943725174</v>
      </c>
      <c r="D1130" s="114" t="s">
        <v>1708</v>
      </c>
      <c r="E1130" s="114" t="b">
        <v>0</v>
      </c>
      <c r="F1130" s="114" t="b">
        <v>0</v>
      </c>
      <c r="G1130" s="114" t="b">
        <v>0</v>
      </c>
    </row>
    <row r="1131" spans="1:7" ht="15">
      <c r="A1131" s="114" t="s">
        <v>2385</v>
      </c>
      <c r="B1131" s="114">
        <v>2</v>
      </c>
      <c r="C1131" s="116">
        <v>0.0019246277943725174</v>
      </c>
      <c r="D1131" s="114" t="s">
        <v>1708</v>
      </c>
      <c r="E1131" s="114" t="b">
        <v>0</v>
      </c>
      <c r="F1131" s="114" t="b">
        <v>0</v>
      </c>
      <c r="G1131" s="114" t="b">
        <v>0</v>
      </c>
    </row>
    <row r="1132" spans="1:7" ht="15">
      <c r="A1132" s="114" t="s">
        <v>1957</v>
      </c>
      <c r="B1132" s="114">
        <v>2</v>
      </c>
      <c r="C1132" s="116">
        <v>0.0019246277943725174</v>
      </c>
      <c r="D1132" s="114" t="s">
        <v>1708</v>
      </c>
      <c r="E1132" s="114" t="b">
        <v>0</v>
      </c>
      <c r="F1132" s="114" t="b">
        <v>0</v>
      </c>
      <c r="G1132" s="114" t="b">
        <v>0</v>
      </c>
    </row>
    <row r="1133" spans="1:7" ht="15">
      <c r="A1133" s="114" t="s">
        <v>1780</v>
      </c>
      <c r="B1133" s="114">
        <v>2</v>
      </c>
      <c r="C1133" s="116">
        <v>0.0019246277943725174</v>
      </c>
      <c r="D1133" s="114" t="s">
        <v>1708</v>
      </c>
      <c r="E1133" s="114" t="b">
        <v>0</v>
      </c>
      <c r="F1133" s="114" t="b">
        <v>0</v>
      </c>
      <c r="G1133" s="114" t="b">
        <v>0</v>
      </c>
    </row>
    <row r="1134" spans="1:7" ht="15">
      <c r="A1134" s="114" t="s">
        <v>1781</v>
      </c>
      <c r="B1134" s="114">
        <v>2</v>
      </c>
      <c r="C1134" s="116">
        <v>0.0019246277943725174</v>
      </c>
      <c r="D1134" s="114" t="s">
        <v>1708</v>
      </c>
      <c r="E1134" s="114" t="b">
        <v>0</v>
      </c>
      <c r="F1134" s="114" t="b">
        <v>0</v>
      </c>
      <c r="G1134" s="114" t="b">
        <v>0</v>
      </c>
    </row>
    <row r="1135" spans="1:7" ht="15">
      <c r="A1135" s="114" t="s">
        <v>2083</v>
      </c>
      <c r="B1135" s="114">
        <v>2</v>
      </c>
      <c r="C1135" s="116">
        <v>0.0019246277943725174</v>
      </c>
      <c r="D1135" s="114" t="s">
        <v>1708</v>
      </c>
      <c r="E1135" s="114" t="b">
        <v>0</v>
      </c>
      <c r="F1135" s="114" t="b">
        <v>0</v>
      </c>
      <c r="G1135" s="114" t="b">
        <v>0</v>
      </c>
    </row>
    <row r="1136" spans="1:7" ht="15">
      <c r="A1136" s="114" t="s">
        <v>2084</v>
      </c>
      <c r="B1136" s="114">
        <v>2</v>
      </c>
      <c r="C1136" s="116">
        <v>0.0019246277943725174</v>
      </c>
      <c r="D1136" s="114" t="s">
        <v>1708</v>
      </c>
      <c r="E1136" s="114" t="b">
        <v>0</v>
      </c>
      <c r="F1136" s="114" t="b">
        <v>0</v>
      </c>
      <c r="G1136" s="114" t="b">
        <v>0</v>
      </c>
    </row>
    <row r="1137" spans="1:7" ht="15">
      <c r="A1137" s="114" t="s">
        <v>2085</v>
      </c>
      <c r="B1137" s="114">
        <v>2</v>
      </c>
      <c r="C1137" s="116">
        <v>0.0019246277943725174</v>
      </c>
      <c r="D1137" s="114" t="s">
        <v>1708</v>
      </c>
      <c r="E1137" s="114" t="b">
        <v>0</v>
      </c>
      <c r="F1137" s="114" t="b">
        <v>0</v>
      </c>
      <c r="G1137" s="114" t="b">
        <v>0</v>
      </c>
    </row>
    <row r="1138" spans="1:7" ht="15">
      <c r="A1138" s="114" t="s">
        <v>2390</v>
      </c>
      <c r="B1138" s="114">
        <v>2</v>
      </c>
      <c r="C1138" s="116">
        <v>0.0023628082829663766</v>
      </c>
      <c r="D1138" s="114" t="s">
        <v>1708</v>
      </c>
      <c r="E1138" s="114" t="b">
        <v>0</v>
      </c>
      <c r="F1138" s="114" t="b">
        <v>0</v>
      </c>
      <c r="G1138" s="114" t="b">
        <v>0</v>
      </c>
    </row>
    <row r="1139" spans="1:7" ht="15">
      <c r="A1139" s="114" t="s">
        <v>1824</v>
      </c>
      <c r="B1139" s="114">
        <v>2</v>
      </c>
      <c r="C1139" s="116">
        <v>0.0019246277943725174</v>
      </c>
      <c r="D1139" s="114" t="s">
        <v>1708</v>
      </c>
      <c r="E1139" s="114" t="b">
        <v>0</v>
      </c>
      <c r="F1139" s="114" t="b">
        <v>0</v>
      </c>
      <c r="G1139" s="114" t="b">
        <v>0</v>
      </c>
    </row>
    <row r="1140" spans="1:7" ht="15">
      <c r="A1140" s="114" t="s">
        <v>1881</v>
      </c>
      <c r="B1140" s="114">
        <v>2</v>
      </c>
      <c r="C1140" s="116">
        <v>0.0019246277943725174</v>
      </c>
      <c r="D1140" s="114" t="s">
        <v>1708</v>
      </c>
      <c r="E1140" s="114" t="b">
        <v>0</v>
      </c>
      <c r="F1140" s="114" t="b">
        <v>0</v>
      </c>
      <c r="G1140" s="114" t="b">
        <v>0</v>
      </c>
    </row>
    <row r="1141" spans="1:7" ht="15">
      <c r="A1141" s="114" t="s">
        <v>2387</v>
      </c>
      <c r="B1141" s="114">
        <v>2</v>
      </c>
      <c r="C1141" s="116">
        <v>0.0023628082829663766</v>
      </c>
      <c r="D1141" s="114" t="s">
        <v>1708</v>
      </c>
      <c r="E1141" s="114" t="b">
        <v>0</v>
      </c>
      <c r="F1141" s="114" t="b">
        <v>0</v>
      </c>
      <c r="G1141" s="114" t="b">
        <v>0</v>
      </c>
    </row>
    <row r="1142" spans="1:7" ht="15">
      <c r="A1142" s="114" t="s">
        <v>2388</v>
      </c>
      <c r="B1142" s="114">
        <v>2</v>
      </c>
      <c r="C1142" s="116">
        <v>0.0023628082829663766</v>
      </c>
      <c r="D1142" s="114" t="s">
        <v>1708</v>
      </c>
      <c r="E1142" s="114" t="b">
        <v>0</v>
      </c>
      <c r="F1142" s="114" t="b">
        <v>0</v>
      </c>
      <c r="G1142" s="114" t="b">
        <v>0</v>
      </c>
    </row>
    <row r="1143" spans="1:7" ht="15">
      <c r="A1143" s="114" t="s">
        <v>2069</v>
      </c>
      <c r="B1143" s="114">
        <v>2</v>
      </c>
      <c r="C1143" s="116">
        <v>0.0019246277943725174</v>
      </c>
      <c r="D1143" s="114" t="s">
        <v>1708</v>
      </c>
      <c r="E1143" s="114" t="b">
        <v>0</v>
      </c>
      <c r="F1143" s="114" t="b">
        <v>0</v>
      </c>
      <c r="G1143" s="114" t="b">
        <v>0</v>
      </c>
    </row>
    <row r="1144" spans="1:7" ht="15">
      <c r="A1144" s="114" t="s">
        <v>2070</v>
      </c>
      <c r="B1144" s="114">
        <v>2</v>
      </c>
      <c r="C1144" s="116">
        <v>0.0019246277943725174</v>
      </c>
      <c r="D1144" s="114" t="s">
        <v>1708</v>
      </c>
      <c r="E1144" s="114" t="b">
        <v>0</v>
      </c>
      <c r="F1144" s="114" t="b">
        <v>0</v>
      </c>
      <c r="G1144" s="114" t="b">
        <v>0</v>
      </c>
    </row>
    <row r="1145" spans="1:7" ht="15">
      <c r="A1145" s="114" t="s">
        <v>2071</v>
      </c>
      <c r="B1145" s="114">
        <v>2</v>
      </c>
      <c r="C1145" s="116">
        <v>0.0019246277943725174</v>
      </c>
      <c r="D1145" s="114" t="s">
        <v>1708</v>
      </c>
      <c r="E1145" s="114" t="b">
        <v>0</v>
      </c>
      <c r="F1145" s="114" t="b">
        <v>0</v>
      </c>
      <c r="G1145" s="114" t="b">
        <v>0</v>
      </c>
    </row>
    <row r="1146" spans="1:7" ht="15">
      <c r="A1146" s="114" t="s">
        <v>2072</v>
      </c>
      <c r="B1146" s="114">
        <v>2</v>
      </c>
      <c r="C1146" s="116">
        <v>0.0019246277943725174</v>
      </c>
      <c r="D1146" s="114" t="s">
        <v>1708</v>
      </c>
      <c r="E1146" s="114" t="b">
        <v>0</v>
      </c>
      <c r="F1146" s="114" t="b">
        <v>0</v>
      </c>
      <c r="G1146" s="114" t="b">
        <v>0</v>
      </c>
    </row>
    <row r="1147" spans="1:7" ht="15">
      <c r="A1147" s="114" t="s">
        <v>2073</v>
      </c>
      <c r="B1147" s="114">
        <v>2</v>
      </c>
      <c r="C1147" s="116">
        <v>0.0019246277943725174</v>
      </c>
      <c r="D1147" s="114" t="s">
        <v>1708</v>
      </c>
      <c r="E1147" s="114" t="b">
        <v>0</v>
      </c>
      <c r="F1147" s="114" t="b">
        <v>0</v>
      </c>
      <c r="G1147" s="114" t="b">
        <v>0</v>
      </c>
    </row>
    <row r="1148" spans="1:7" ht="15">
      <c r="A1148" s="114" t="s">
        <v>1994</v>
      </c>
      <c r="B1148" s="114">
        <v>2</v>
      </c>
      <c r="C1148" s="116">
        <v>0.0019246277943725174</v>
      </c>
      <c r="D1148" s="114" t="s">
        <v>1708</v>
      </c>
      <c r="E1148" s="114" t="b">
        <v>0</v>
      </c>
      <c r="F1148" s="114" t="b">
        <v>0</v>
      </c>
      <c r="G1148" s="114" t="b">
        <v>0</v>
      </c>
    </row>
    <row r="1149" spans="1:7" ht="15">
      <c r="A1149" s="114" t="s">
        <v>1918</v>
      </c>
      <c r="B1149" s="114">
        <v>2</v>
      </c>
      <c r="C1149" s="116">
        <v>0.0019246277943725174</v>
      </c>
      <c r="D1149" s="114" t="s">
        <v>1708</v>
      </c>
      <c r="E1149" s="114" t="b">
        <v>0</v>
      </c>
      <c r="F1149" s="114" t="b">
        <v>0</v>
      </c>
      <c r="G1149" s="114" t="b">
        <v>0</v>
      </c>
    </row>
    <row r="1150" spans="1:7" ht="15">
      <c r="A1150" s="114" t="s">
        <v>2203</v>
      </c>
      <c r="B1150" s="114">
        <v>2</v>
      </c>
      <c r="C1150" s="116">
        <v>0.0023628082829663766</v>
      </c>
      <c r="D1150" s="114" t="s">
        <v>1708</v>
      </c>
      <c r="E1150" s="114" t="b">
        <v>0</v>
      </c>
      <c r="F1150" s="114" t="b">
        <v>0</v>
      </c>
      <c r="G1150" s="114" t="b">
        <v>0</v>
      </c>
    </row>
    <row r="1151" spans="1:7" ht="15">
      <c r="A1151" s="114" t="s">
        <v>2377</v>
      </c>
      <c r="B1151" s="114">
        <v>2</v>
      </c>
      <c r="C1151" s="116">
        <v>0.0023628082829663766</v>
      </c>
      <c r="D1151" s="114" t="s">
        <v>1708</v>
      </c>
      <c r="E1151" s="114" t="b">
        <v>0</v>
      </c>
      <c r="F1151" s="114" t="b">
        <v>0</v>
      </c>
      <c r="G1151" s="114" t="b">
        <v>0</v>
      </c>
    </row>
    <row r="1152" spans="1:7" ht="15">
      <c r="A1152" s="114" t="s">
        <v>2378</v>
      </c>
      <c r="B1152" s="114">
        <v>2</v>
      </c>
      <c r="C1152" s="116">
        <v>0.0023628082829663766</v>
      </c>
      <c r="D1152" s="114" t="s">
        <v>1708</v>
      </c>
      <c r="E1152" s="114" t="b">
        <v>0</v>
      </c>
      <c r="F1152" s="114" t="b">
        <v>0</v>
      </c>
      <c r="G1152" s="114" t="b">
        <v>0</v>
      </c>
    </row>
    <row r="1153" spans="1:7" ht="15">
      <c r="A1153" s="114" t="s">
        <v>1965</v>
      </c>
      <c r="B1153" s="114">
        <v>2</v>
      </c>
      <c r="C1153" s="116">
        <v>0.0023628082829663766</v>
      </c>
      <c r="D1153" s="114" t="s">
        <v>1708</v>
      </c>
      <c r="E1153" s="114" t="b">
        <v>1</v>
      </c>
      <c r="F1153" s="114" t="b">
        <v>0</v>
      </c>
      <c r="G1153" s="114" t="b">
        <v>0</v>
      </c>
    </row>
    <row r="1154" spans="1:7" ht="15">
      <c r="A1154" s="114" t="s">
        <v>2199</v>
      </c>
      <c r="B1154" s="114">
        <v>2</v>
      </c>
      <c r="C1154" s="116">
        <v>0.0023628082829663766</v>
      </c>
      <c r="D1154" s="114" t="s">
        <v>1708</v>
      </c>
      <c r="E1154" s="114" t="b">
        <v>0</v>
      </c>
      <c r="F1154" s="114" t="b">
        <v>0</v>
      </c>
      <c r="G1154" s="114" t="b">
        <v>0</v>
      </c>
    </row>
    <row r="1155" spans="1:7" ht="15">
      <c r="A1155" s="114" t="s">
        <v>1945</v>
      </c>
      <c r="B1155" s="114">
        <v>2</v>
      </c>
      <c r="C1155" s="116">
        <v>0.0023628082829663766</v>
      </c>
      <c r="D1155" s="114" t="s">
        <v>1708</v>
      </c>
      <c r="E1155" s="114" t="b">
        <v>0</v>
      </c>
      <c r="F1155" s="114" t="b">
        <v>0</v>
      </c>
      <c r="G1155" s="114" t="b">
        <v>0</v>
      </c>
    </row>
    <row r="1156" spans="1:7" ht="15">
      <c r="A1156" s="114" t="s">
        <v>2371</v>
      </c>
      <c r="B1156" s="114">
        <v>2</v>
      </c>
      <c r="C1156" s="116">
        <v>0.0023628082829663766</v>
      </c>
      <c r="D1156" s="114" t="s">
        <v>1708</v>
      </c>
      <c r="E1156" s="114" t="b">
        <v>0</v>
      </c>
      <c r="F1156" s="114" t="b">
        <v>0</v>
      </c>
      <c r="G1156" s="114" t="b">
        <v>0</v>
      </c>
    </row>
    <row r="1157" spans="1:7" ht="15">
      <c r="A1157" s="114" t="s">
        <v>2372</v>
      </c>
      <c r="B1157" s="114">
        <v>2</v>
      </c>
      <c r="C1157" s="116">
        <v>0.0023628082829663766</v>
      </c>
      <c r="D1157" s="114" t="s">
        <v>1708</v>
      </c>
      <c r="E1157" s="114" t="b">
        <v>0</v>
      </c>
      <c r="F1157" s="114" t="b">
        <v>0</v>
      </c>
      <c r="G1157" s="114" t="b">
        <v>0</v>
      </c>
    </row>
    <row r="1158" spans="1:7" ht="15">
      <c r="A1158" s="114" t="s">
        <v>2156</v>
      </c>
      <c r="B1158" s="114">
        <v>2</v>
      </c>
      <c r="C1158" s="116">
        <v>0.0023628082829663766</v>
      </c>
      <c r="D1158" s="114" t="s">
        <v>1708</v>
      </c>
      <c r="E1158" s="114" t="b">
        <v>0</v>
      </c>
      <c r="F1158" s="114" t="b">
        <v>0</v>
      </c>
      <c r="G1158" s="114" t="b">
        <v>0</v>
      </c>
    </row>
    <row r="1159" spans="1:7" ht="15">
      <c r="A1159" s="114" t="s">
        <v>1742</v>
      </c>
      <c r="B1159" s="114">
        <v>23</v>
      </c>
      <c r="C1159" s="116">
        <v>0.030000552677103255</v>
      </c>
      <c r="D1159" s="114" t="s">
        <v>1709</v>
      </c>
      <c r="E1159" s="114" t="b">
        <v>0</v>
      </c>
      <c r="F1159" s="114" t="b">
        <v>0</v>
      </c>
      <c r="G1159" s="114" t="b">
        <v>0</v>
      </c>
    </row>
    <row r="1160" spans="1:7" ht="15">
      <c r="A1160" s="114" t="s">
        <v>1773</v>
      </c>
      <c r="B1160" s="114">
        <v>23</v>
      </c>
      <c r="C1160" s="116">
        <v>0.014648690370514415</v>
      </c>
      <c r="D1160" s="114" t="s">
        <v>1709</v>
      </c>
      <c r="E1160" s="114" t="b">
        <v>0</v>
      </c>
      <c r="F1160" s="114" t="b">
        <v>0</v>
      </c>
      <c r="G1160" s="114" t="b">
        <v>0</v>
      </c>
    </row>
    <row r="1161" spans="1:7" ht="15">
      <c r="A1161" s="114" t="s">
        <v>1757</v>
      </c>
      <c r="B1161" s="114">
        <v>19</v>
      </c>
      <c r="C1161" s="116">
        <v>0.06282898488437069</v>
      </c>
      <c r="D1161" s="114" t="s">
        <v>1709</v>
      </c>
      <c r="E1161" s="114" t="b">
        <v>0</v>
      </c>
      <c r="F1161" s="114" t="b">
        <v>0</v>
      </c>
      <c r="G1161" s="114" t="b">
        <v>0</v>
      </c>
    </row>
    <row r="1162" spans="1:7" ht="15">
      <c r="A1162" s="114" t="s">
        <v>1794</v>
      </c>
      <c r="B1162" s="114">
        <v>17</v>
      </c>
      <c r="C1162" s="116">
        <v>0.01188380796282939</v>
      </c>
      <c r="D1162" s="114" t="s">
        <v>1709</v>
      </c>
      <c r="E1162" s="114" t="b">
        <v>0</v>
      </c>
      <c r="F1162" s="114" t="b">
        <v>0</v>
      </c>
      <c r="G1162" s="114" t="b">
        <v>0</v>
      </c>
    </row>
    <row r="1163" spans="1:7" ht="15">
      <c r="A1163" s="114" t="s">
        <v>1741</v>
      </c>
      <c r="B1163" s="114">
        <v>14</v>
      </c>
      <c r="C1163" s="116">
        <v>0.011715868694864974</v>
      </c>
      <c r="D1163" s="114" t="s">
        <v>1709</v>
      </c>
      <c r="E1163" s="114" t="b">
        <v>0</v>
      </c>
      <c r="F1163" s="114" t="b">
        <v>0</v>
      </c>
      <c r="G1163" s="114" t="b">
        <v>0</v>
      </c>
    </row>
    <row r="1164" spans="1:7" ht="15">
      <c r="A1164" s="114" t="s">
        <v>1815</v>
      </c>
      <c r="B1164" s="114">
        <v>14</v>
      </c>
      <c r="C1164" s="116">
        <v>0.03148418214546462</v>
      </c>
      <c r="D1164" s="114" t="s">
        <v>1709</v>
      </c>
      <c r="E1164" s="114" t="b">
        <v>0</v>
      </c>
      <c r="F1164" s="114" t="b">
        <v>0</v>
      </c>
      <c r="G1164" s="114" t="b">
        <v>0</v>
      </c>
    </row>
    <row r="1165" spans="1:7" ht="15">
      <c r="A1165" s="114" t="s">
        <v>1822</v>
      </c>
      <c r="B1165" s="114">
        <v>13</v>
      </c>
      <c r="C1165" s="116">
        <v>0.010879020930946046</v>
      </c>
      <c r="D1165" s="114" t="s">
        <v>1709</v>
      </c>
      <c r="E1165" s="114" t="b">
        <v>0</v>
      </c>
      <c r="F1165" s="114" t="b">
        <v>0</v>
      </c>
      <c r="G1165" s="114" t="b">
        <v>0</v>
      </c>
    </row>
    <row r="1166" spans="1:7" ht="15">
      <c r="A1166" s="114" t="s">
        <v>1834</v>
      </c>
      <c r="B1166" s="114">
        <v>12</v>
      </c>
      <c r="C1166" s="116">
        <v>0.010967107258181319</v>
      </c>
      <c r="D1166" s="114" t="s">
        <v>1709</v>
      </c>
      <c r="E1166" s="114" t="b">
        <v>0</v>
      </c>
      <c r="F1166" s="114" t="b">
        <v>0</v>
      </c>
      <c r="G1166" s="114" t="b">
        <v>0</v>
      </c>
    </row>
    <row r="1167" spans="1:7" ht="15">
      <c r="A1167" s="114" t="s">
        <v>1743</v>
      </c>
      <c r="B1167" s="114">
        <v>12</v>
      </c>
      <c r="C1167" s="116">
        <v>0.010967107258181319</v>
      </c>
      <c r="D1167" s="114" t="s">
        <v>1709</v>
      </c>
      <c r="E1167" s="114" t="b">
        <v>0</v>
      </c>
      <c r="F1167" s="114" t="b">
        <v>0</v>
      </c>
      <c r="G1167" s="114" t="b">
        <v>0</v>
      </c>
    </row>
    <row r="1168" spans="1:7" ht="15">
      <c r="A1168" s="114" t="s">
        <v>1777</v>
      </c>
      <c r="B1168" s="114">
        <v>10</v>
      </c>
      <c r="C1168" s="116">
        <v>0.017569660521025588</v>
      </c>
      <c r="D1168" s="114" t="s">
        <v>1709</v>
      </c>
      <c r="E1168" s="114" t="b">
        <v>0</v>
      </c>
      <c r="F1168" s="114" t="b">
        <v>0</v>
      </c>
      <c r="G1168" s="114" t="b">
        <v>0</v>
      </c>
    </row>
    <row r="1169" spans="1:7" ht="15">
      <c r="A1169" s="114" t="s">
        <v>1739</v>
      </c>
      <c r="B1169" s="114">
        <v>9</v>
      </c>
      <c r="C1169" s="116">
        <v>0.010718564655331555</v>
      </c>
      <c r="D1169" s="114" t="s">
        <v>1709</v>
      </c>
      <c r="E1169" s="114" t="b">
        <v>0</v>
      </c>
      <c r="F1169" s="114" t="b">
        <v>0</v>
      </c>
      <c r="G1169" s="114" t="b">
        <v>0</v>
      </c>
    </row>
    <row r="1170" spans="1:7" ht="15">
      <c r="A1170" s="114" t="s">
        <v>1909</v>
      </c>
      <c r="B1170" s="114">
        <v>8</v>
      </c>
      <c r="C1170" s="116">
        <v>0.010434974844209828</v>
      </c>
      <c r="D1170" s="114" t="s">
        <v>1709</v>
      </c>
      <c r="E1170" s="114" t="b">
        <v>0</v>
      </c>
      <c r="F1170" s="114" t="b">
        <v>0</v>
      </c>
      <c r="G1170" s="114" t="b">
        <v>0</v>
      </c>
    </row>
    <row r="1171" spans="1:7" ht="15">
      <c r="A1171" s="114" t="s">
        <v>1869</v>
      </c>
      <c r="B1171" s="114">
        <v>8</v>
      </c>
      <c r="C1171" s="116">
        <v>0.010434974844209828</v>
      </c>
      <c r="D1171" s="114" t="s">
        <v>1709</v>
      </c>
      <c r="E1171" s="114" t="b">
        <v>0</v>
      </c>
      <c r="F1171" s="114" t="b">
        <v>0</v>
      </c>
      <c r="G1171" s="114" t="b">
        <v>0</v>
      </c>
    </row>
    <row r="1172" spans="1:7" ht="15">
      <c r="A1172" s="114" t="s">
        <v>1870</v>
      </c>
      <c r="B1172" s="114">
        <v>8</v>
      </c>
      <c r="C1172" s="116">
        <v>0.010434974844209828</v>
      </c>
      <c r="D1172" s="114" t="s">
        <v>1709</v>
      </c>
      <c r="E1172" s="114" t="b">
        <v>0</v>
      </c>
      <c r="F1172" s="114" t="b">
        <v>0</v>
      </c>
      <c r="G1172" s="114" t="b">
        <v>0</v>
      </c>
    </row>
    <row r="1173" spans="1:7" ht="15">
      <c r="A1173" s="114" t="s">
        <v>1740</v>
      </c>
      <c r="B1173" s="114">
        <v>7</v>
      </c>
      <c r="C1173" s="116">
        <v>0.01229876236471791</v>
      </c>
      <c r="D1173" s="114" t="s">
        <v>1709</v>
      </c>
      <c r="E1173" s="114" t="b">
        <v>0</v>
      </c>
      <c r="F1173" s="114" t="b">
        <v>0</v>
      </c>
      <c r="G1173" s="114" t="b">
        <v>0</v>
      </c>
    </row>
    <row r="1174" spans="1:7" ht="15">
      <c r="A1174" s="114" t="s">
        <v>1747</v>
      </c>
      <c r="B1174" s="114">
        <v>6</v>
      </c>
      <c r="C1174" s="116">
        <v>0.01183106477835446</v>
      </c>
      <c r="D1174" s="114" t="s">
        <v>1709</v>
      </c>
      <c r="E1174" s="114" t="b">
        <v>0</v>
      </c>
      <c r="F1174" s="114" t="b">
        <v>0</v>
      </c>
      <c r="G1174" s="114" t="b">
        <v>0</v>
      </c>
    </row>
    <row r="1175" spans="1:7" ht="15">
      <c r="A1175" s="114" t="s">
        <v>1981</v>
      </c>
      <c r="B1175" s="114">
        <v>5</v>
      </c>
      <c r="C1175" s="116">
        <v>0.008784830260512794</v>
      </c>
      <c r="D1175" s="114" t="s">
        <v>1709</v>
      </c>
      <c r="E1175" s="114" t="b">
        <v>0</v>
      </c>
      <c r="F1175" s="114" t="b">
        <v>0</v>
      </c>
      <c r="G1175" s="114" t="b">
        <v>0</v>
      </c>
    </row>
    <row r="1176" spans="1:7" ht="15">
      <c r="A1176" s="114" t="s">
        <v>1748</v>
      </c>
      <c r="B1176" s="114">
        <v>4</v>
      </c>
      <c r="C1176" s="116">
        <v>0.007887376518902974</v>
      </c>
      <c r="D1176" s="114" t="s">
        <v>1709</v>
      </c>
      <c r="E1176" s="114" t="b">
        <v>0</v>
      </c>
      <c r="F1176" s="114" t="b">
        <v>0</v>
      </c>
      <c r="G1176" s="114" t="b">
        <v>0</v>
      </c>
    </row>
    <row r="1177" spans="1:7" ht="15">
      <c r="A1177" s="114" t="s">
        <v>2025</v>
      </c>
      <c r="B1177" s="114">
        <v>4</v>
      </c>
      <c r="C1177" s="116">
        <v>0.007887376518902974</v>
      </c>
      <c r="D1177" s="114" t="s">
        <v>1709</v>
      </c>
      <c r="E1177" s="114" t="b">
        <v>0</v>
      </c>
      <c r="F1177" s="114" t="b">
        <v>0</v>
      </c>
      <c r="G1177" s="114" t="b">
        <v>0</v>
      </c>
    </row>
    <row r="1178" spans="1:7" ht="15">
      <c r="A1178" s="114" t="s">
        <v>1765</v>
      </c>
      <c r="B1178" s="114">
        <v>4</v>
      </c>
      <c r="C1178" s="116">
        <v>0.013227154712499092</v>
      </c>
      <c r="D1178" s="114" t="s">
        <v>1709</v>
      </c>
      <c r="E1178" s="114" t="b">
        <v>0</v>
      </c>
      <c r="F1178" s="114" t="b">
        <v>0</v>
      </c>
      <c r="G1178" s="114" t="b">
        <v>0</v>
      </c>
    </row>
    <row r="1179" spans="1:7" ht="15">
      <c r="A1179" s="114" t="s">
        <v>2027</v>
      </c>
      <c r="B1179" s="114">
        <v>4</v>
      </c>
      <c r="C1179" s="116">
        <v>0.013227154712499092</v>
      </c>
      <c r="D1179" s="114" t="s">
        <v>1709</v>
      </c>
      <c r="E1179" s="114" t="b">
        <v>0</v>
      </c>
      <c r="F1179" s="114" t="b">
        <v>0</v>
      </c>
      <c r="G1179" s="114" t="b">
        <v>0</v>
      </c>
    </row>
    <row r="1180" spans="1:7" ht="15">
      <c r="A1180" s="114" t="s">
        <v>1799</v>
      </c>
      <c r="B1180" s="114">
        <v>3</v>
      </c>
      <c r="C1180" s="116">
        <v>0.007917949211775775</v>
      </c>
      <c r="D1180" s="114" t="s">
        <v>1709</v>
      </c>
      <c r="E1180" s="114" t="b">
        <v>0</v>
      </c>
      <c r="F1180" s="114" t="b">
        <v>0</v>
      </c>
      <c r="G1180" s="114" t="b">
        <v>0</v>
      </c>
    </row>
    <row r="1181" spans="1:7" ht="15">
      <c r="A1181" s="114" t="s">
        <v>1814</v>
      </c>
      <c r="B1181" s="114">
        <v>3</v>
      </c>
      <c r="C1181" s="116">
        <v>0.006746610459742419</v>
      </c>
      <c r="D1181" s="114" t="s">
        <v>1709</v>
      </c>
      <c r="E1181" s="114" t="b">
        <v>0</v>
      </c>
      <c r="F1181" s="114" t="b">
        <v>0</v>
      </c>
      <c r="G1181" s="114" t="b">
        <v>0</v>
      </c>
    </row>
    <row r="1182" spans="1:7" ht="15">
      <c r="A1182" s="114" t="s">
        <v>1984</v>
      </c>
      <c r="B1182" s="114">
        <v>3</v>
      </c>
      <c r="C1182" s="116">
        <v>0.007917949211775775</v>
      </c>
      <c r="D1182" s="114" t="s">
        <v>1709</v>
      </c>
      <c r="E1182" s="114" t="b">
        <v>0</v>
      </c>
      <c r="F1182" s="114" t="b">
        <v>0</v>
      </c>
      <c r="G1182" s="114" t="b">
        <v>0</v>
      </c>
    </row>
    <row r="1183" spans="1:7" ht="15">
      <c r="A1183" s="114" t="s">
        <v>1894</v>
      </c>
      <c r="B1183" s="114">
        <v>3</v>
      </c>
      <c r="C1183" s="116">
        <v>0.006746610459742419</v>
      </c>
      <c r="D1183" s="114" t="s">
        <v>1709</v>
      </c>
      <c r="E1183" s="114" t="b">
        <v>0</v>
      </c>
      <c r="F1183" s="114" t="b">
        <v>0</v>
      </c>
      <c r="G1183" s="114" t="b">
        <v>0</v>
      </c>
    </row>
    <row r="1184" spans="1:7" ht="15">
      <c r="A1184" s="114" t="s">
        <v>2145</v>
      </c>
      <c r="B1184" s="114">
        <v>3</v>
      </c>
      <c r="C1184" s="116">
        <v>0.006746610459742419</v>
      </c>
      <c r="D1184" s="114" t="s">
        <v>1709</v>
      </c>
      <c r="E1184" s="114" t="b">
        <v>0</v>
      </c>
      <c r="F1184" s="114" t="b">
        <v>0</v>
      </c>
      <c r="G1184" s="114" t="b">
        <v>0</v>
      </c>
    </row>
    <row r="1185" spans="1:7" ht="15">
      <c r="A1185" s="114" t="s">
        <v>1845</v>
      </c>
      <c r="B1185" s="114">
        <v>3</v>
      </c>
      <c r="C1185" s="116">
        <v>0.006746610459742419</v>
      </c>
      <c r="D1185" s="114" t="s">
        <v>1709</v>
      </c>
      <c r="E1185" s="114" t="b">
        <v>0</v>
      </c>
      <c r="F1185" s="114" t="b">
        <v>0</v>
      </c>
      <c r="G1185" s="114" t="b">
        <v>0</v>
      </c>
    </row>
    <row r="1186" spans="1:7" ht="15">
      <c r="A1186" s="114" t="s">
        <v>1755</v>
      </c>
      <c r="B1186" s="114">
        <v>3</v>
      </c>
      <c r="C1186" s="116">
        <v>0.007917949211775775</v>
      </c>
      <c r="D1186" s="114" t="s">
        <v>1709</v>
      </c>
      <c r="E1186" s="114" t="b">
        <v>0</v>
      </c>
      <c r="F1186" s="114" t="b">
        <v>0</v>
      </c>
      <c r="G1186" s="114" t="b">
        <v>0</v>
      </c>
    </row>
    <row r="1187" spans="1:7" ht="15">
      <c r="A1187" s="114" t="s">
        <v>1871</v>
      </c>
      <c r="B1187" s="114">
        <v>3</v>
      </c>
      <c r="C1187" s="116">
        <v>0.00992036603437432</v>
      </c>
      <c r="D1187" s="114" t="s">
        <v>1709</v>
      </c>
      <c r="E1187" s="114" t="b">
        <v>0</v>
      </c>
      <c r="F1187" s="114" t="b">
        <v>0</v>
      </c>
      <c r="G1187" s="114" t="b">
        <v>0</v>
      </c>
    </row>
    <row r="1188" spans="1:7" ht="15">
      <c r="A1188" s="114" t="s">
        <v>1846</v>
      </c>
      <c r="B1188" s="114">
        <v>3</v>
      </c>
      <c r="C1188" s="116">
        <v>0.00992036603437432</v>
      </c>
      <c r="D1188" s="114" t="s">
        <v>1709</v>
      </c>
      <c r="E1188" s="114" t="b">
        <v>0</v>
      </c>
      <c r="F1188" s="114" t="b">
        <v>0</v>
      </c>
      <c r="G1188" s="114" t="b">
        <v>0</v>
      </c>
    </row>
    <row r="1189" spans="1:7" ht="15">
      <c r="A1189" s="114" t="s">
        <v>1886</v>
      </c>
      <c r="B1189" s="114">
        <v>3</v>
      </c>
      <c r="C1189" s="116">
        <v>0.007917949211775775</v>
      </c>
      <c r="D1189" s="114" t="s">
        <v>1709</v>
      </c>
      <c r="E1189" s="114" t="b">
        <v>0</v>
      </c>
      <c r="F1189" s="114" t="b">
        <v>0</v>
      </c>
      <c r="G1189" s="114" t="b">
        <v>0</v>
      </c>
    </row>
    <row r="1190" spans="1:7" ht="15">
      <c r="A1190" s="114" t="s">
        <v>1816</v>
      </c>
      <c r="B1190" s="114">
        <v>2</v>
      </c>
      <c r="C1190" s="116">
        <v>0.005278632807850516</v>
      </c>
      <c r="D1190" s="114" t="s">
        <v>1709</v>
      </c>
      <c r="E1190" s="114" t="b">
        <v>0</v>
      </c>
      <c r="F1190" s="114" t="b">
        <v>0</v>
      </c>
      <c r="G1190" s="114" t="b">
        <v>0</v>
      </c>
    </row>
    <row r="1191" spans="1:7" ht="15">
      <c r="A1191" s="114" t="s">
        <v>1848</v>
      </c>
      <c r="B1191" s="114">
        <v>2</v>
      </c>
      <c r="C1191" s="116">
        <v>0.006613577356249546</v>
      </c>
      <c r="D1191" s="114" t="s">
        <v>1709</v>
      </c>
      <c r="E1191" s="114" t="b">
        <v>0</v>
      </c>
      <c r="F1191" s="114" t="b">
        <v>1</v>
      </c>
      <c r="G1191" s="114" t="b">
        <v>0</v>
      </c>
    </row>
    <row r="1192" spans="1:7" ht="15">
      <c r="A1192" s="114" t="s">
        <v>2274</v>
      </c>
      <c r="B1192" s="114">
        <v>2</v>
      </c>
      <c r="C1192" s="116">
        <v>0.006613577356249546</v>
      </c>
      <c r="D1192" s="114" t="s">
        <v>1709</v>
      </c>
      <c r="E1192" s="114" t="b">
        <v>0</v>
      </c>
      <c r="F1192" s="114" t="b">
        <v>0</v>
      </c>
      <c r="G1192" s="114" t="b">
        <v>0</v>
      </c>
    </row>
    <row r="1193" spans="1:7" ht="15">
      <c r="A1193" s="114" t="s">
        <v>2035</v>
      </c>
      <c r="B1193" s="114">
        <v>2</v>
      </c>
      <c r="C1193" s="116">
        <v>0.006613577356249546</v>
      </c>
      <c r="D1193" s="114" t="s">
        <v>1709</v>
      </c>
      <c r="E1193" s="114" t="b">
        <v>0</v>
      </c>
      <c r="F1193" s="114" t="b">
        <v>0</v>
      </c>
      <c r="G1193" s="114" t="b">
        <v>0</v>
      </c>
    </row>
    <row r="1194" spans="1:7" ht="15">
      <c r="A1194" s="114" t="s">
        <v>1782</v>
      </c>
      <c r="B1194" s="114">
        <v>2</v>
      </c>
      <c r="C1194" s="116">
        <v>0.005278632807850516</v>
      </c>
      <c r="D1194" s="114" t="s">
        <v>1709</v>
      </c>
      <c r="E1194" s="114" t="b">
        <v>0</v>
      </c>
      <c r="F1194" s="114" t="b">
        <v>0</v>
      </c>
      <c r="G1194" s="114" t="b">
        <v>0</v>
      </c>
    </row>
    <row r="1195" spans="1:7" ht="15">
      <c r="A1195" s="114" t="s">
        <v>2044</v>
      </c>
      <c r="B1195" s="114">
        <v>2</v>
      </c>
      <c r="C1195" s="116">
        <v>0.006613577356249546</v>
      </c>
      <c r="D1195" s="114" t="s">
        <v>1709</v>
      </c>
      <c r="E1195" s="114" t="b">
        <v>0</v>
      </c>
      <c r="F1195" s="114" t="b">
        <v>0</v>
      </c>
      <c r="G1195" s="114" t="b">
        <v>0</v>
      </c>
    </row>
    <row r="1196" spans="1:7" ht="15">
      <c r="A1196" s="114" t="s">
        <v>1989</v>
      </c>
      <c r="B1196" s="114">
        <v>2</v>
      </c>
      <c r="C1196" s="116">
        <v>0.005278632807850516</v>
      </c>
      <c r="D1196" s="114" t="s">
        <v>1709</v>
      </c>
      <c r="E1196" s="114" t="b">
        <v>0</v>
      </c>
      <c r="F1196" s="114" t="b">
        <v>0</v>
      </c>
      <c r="G1196" s="114" t="b">
        <v>0</v>
      </c>
    </row>
    <row r="1197" spans="1:7" ht="15">
      <c r="A1197" s="114" t="s">
        <v>1990</v>
      </c>
      <c r="B1197" s="114">
        <v>2</v>
      </c>
      <c r="C1197" s="116">
        <v>0.005278632807850516</v>
      </c>
      <c r="D1197" s="114" t="s">
        <v>1709</v>
      </c>
      <c r="E1197" s="114" t="b">
        <v>0</v>
      </c>
      <c r="F1197" s="114" t="b">
        <v>0</v>
      </c>
      <c r="G1197" s="114" t="b">
        <v>0</v>
      </c>
    </row>
    <row r="1198" spans="1:7" ht="15">
      <c r="A1198" s="114" t="s">
        <v>2294</v>
      </c>
      <c r="B1198" s="114">
        <v>2</v>
      </c>
      <c r="C1198" s="116">
        <v>0.005278632807850516</v>
      </c>
      <c r="D1198" s="114" t="s">
        <v>1709</v>
      </c>
      <c r="E1198" s="114" t="b">
        <v>0</v>
      </c>
      <c r="F1198" s="114" t="b">
        <v>0</v>
      </c>
      <c r="G1198" s="114" t="b">
        <v>0</v>
      </c>
    </row>
    <row r="1199" spans="1:7" ht="15">
      <c r="A1199" s="114" t="s">
        <v>2301</v>
      </c>
      <c r="B1199" s="114">
        <v>2</v>
      </c>
      <c r="C1199" s="116">
        <v>0.006613577356249546</v>
      </c>
      <c r="D1199" s="114" t="s">
        <v>1709</v>
      </c>
      <c r="E1199" s="114" t="b">
        <v>0</v>
      </c>
      <c r="F1199" s="114" t="b">
        <v>0</v>
      </c>
      <c r="G1199" s="114" t="b">
        <v>0</v>
      </c>
    </row>
    <row r="1200" spans="1:7" ht="15">
      <c r="A1200" s="114" t="s">
        <v>2299</v>
      </c>
      <c r="B1200" s="114">
        <v>2</v>
      </c>
      <c r="C1200" s="116">
        <v>0.005278632807850516</v>
      </c>
      <c r="D1200" s="114" t="s">
        <v>1709</v>
      </c>
      <c r="E1200" s="114" t="b">
        <v>0</v>
      </c>
      <c r="F1200" s="114" t="b">
        <v>0</v>
      </c>
      <c r="G1200" s="114" t="b">
        <v>0</v>
      </c>
    </row>
    <row r="1201" spans="1:7" ht="15">
      <c r="A1201" s="114" t="s">
        <v>2300</v>
      </c>
      <c r="B1201" s="114">
        <v>2</v>
      </c>
      <c r="C1201" s="116">
        <v>0.005278632807850516</v>
      </c>
      <c r="D1201" s="114" t="s">
        <v>1709</v>
      </c>
      <c r="E1201" s="114" t="b">
        <v>0</v>
      </c>
      <c r="F1201" s="114" t="b">
        <v>0</v>
      </c>
      <c r="G1201" s="114" t="b">
        <v>0</v>
      </c>
    </row>
    <row r="1202" spans="1:7" ht="15">
      <c r="A1202" s="114" t="s">
        <v>2293</v>
      </c>
      <c r="B1202" s="114">
        <v>2</v>
      </c>
      <c r="C1202" s="116">
        <v>0.005278632807850516</v>
      </c>
      <c r="D1202" s="114" t="s">
        <v>1709</v>
      </c>
      <c r="E1202" s="114" t="b">
        <v>0</v>
      </c>
      <c r="F1202" s="114" t="b">
        <v>0</v>
      </c>
      <c r="G1202" s="114" t="b">
        <v>0</v>
      </c>
    </row>
    <row r="1203" spans="1:7" ht="15">
      <c r="A1203" s="114" t="s">
        <v>1865</v>
      </c>
      <c r="B1203" s="114">
        <v>2</v>
      </c>
      <c r="C1203" s="116">
        <v>0.005278632807850516</v>
      </c>
      <c r="D1203" s="114" t="s">
        <v>1709</v>
      </c>
      <c r="E1203" s="114" t="b">
        <v>0</v>
      </c>
      <c r="F1203" s="114" t="b">
        <v>0</v>
      </c>
      <c r="G1203" s="114" t="b">
        <v>0</v>
      </c>
    </row>
    <row r="1204" spans="1:7" ht="15">
      <c r="A1204" s="114" t="s">
        <v>2296</v>
      </c>
      <c r="B1204" s="114">
        <v>2</v>
      </c>
      <c r="C1204" s="116">
        <v>0.006613577356249546</v>
      </c>
      <c r="D1204" s="114" t="s">
        <v>1709</v>
      </c>
      <c r="E1204" s="114" t="b">
        <v>0</v>
      </c>
      <c r="F1204" s="114" t="b">
        <v>0</v>
      </c>
      <c r="G1204" s="114" t="b">
        <v>0</v>
      </c>
    </row>
    <row r="1205" spans="1:7" ht="15">
      <c r="A1205" s="114" t="s">
        <v>2046</v>
      </c>
      <c r="B1205" s="114">
        <v>2</v>
      </c>
      <c r="C1205" s="116">
        <v>0.006613577356249546</v>
      </c>
      <c r="D1205" s="114" t="s">
        <v>1709</v>
      </c>
      <c r="E1205" s="114" t="b">
        <v>0</v>
      </c>
      <c r="F1205" s="114" t="b">
        <v>0</v>
      </c>
      <c r="G1205" s="114" t="b">
        <v>0</v>
      </c>
    </row>
    <row r="1206" spans="1:7" ht="15">
      <c r="A1206" s="114" t="s">
        <v>2292</v>
      </c>
      <c r="B1206" s="114">
        <v>2</v>
      </c>
      <c r="C1206" s="116">
        <v>0.005278632807850516</v>
      </c>
      <c r="D1206" s="114" t="s">
        <v>1709</v>
      </c>
      <c r="E1206" s="114" t="b">
        <v>0</v>
      </c>
      <c r="F1206" s="114" t="b">
        <v>0</v>
      </c>
      <c r="G1206" s="114" t="b">
        <v>0</v>
      </c>
    </row>
    <row r="1207" spans="1:7" ht="15">
      <c r="A1207" s="114" t="s">
        <v>2123</v>
      </c>
      <c r="B1207" s="114">
        <v>2</v>
      </c>
      <c r="C1207" s="116">
        <v>0.005278632807850516</v>
      </c>
      <c r="D1207" s="114" t="s">
        <v>1709</v>
      </c>
      <c r="E1207" s="114" t="b">
        <v>0</v>
      </c>
      <c r="F1207" s="114" t="b">
        <v>0</v>
      </c>
      <c r="G1207" s="114" t="b">
        <v>0</v>
      </c>
    </row>
    <row r="1208" spans="1:7" ht="15">
      <c r="A1208" s="114" t="s">
        <v>2266</v>
      </c>
      <c r="B1208" s="114">
        <v>2</v>
      </c>
      <c r="C1208" s="116">
        <v>0.006613577356249546</v>
      </c>
      <c r="D1208" s="114" t="s">
        <v>1709</v>
      </c>
      <c r="E1208" s="114" t="b">
        <v>0</v>
      </c>
      <c r="F1208" s="114" t="b">
        <v>0</v>
      </c>
      <c r="G1208" s="114" t="b">
        <v>0</v>
      </c>
    </row>
    <row r="1209" spans="1:7" ht="15">
      <c r="A1209" s="114" t="s">
        <v>1864</v>
      </c>
      <c r="B1209" s="114">
        <v>2</v>
      </c>
      <c r="C1209" s="116">
        <v>0.006613577356249546</v>
      </c>
      <c r="D1209" s="114" t="s">
        <v>1709</v>
      </c>
      <c r="E1209" s="114" t="b">
        <v>0</v>
      </c>
      <c r="F1209" s="114" t="b">
        <v>0</v>
      </c>
      <c r="G1209" s="114" t="b">
        <v>0</v>
      </c>
    </row>
    <row r="1210" spans="1:7" ht="15">
      <c r="A1210" s="114" t="s">
        <v>1739</v>
      </c>
      <c r="B1210" s="114">
        <v>95</v>
      </c>
      <c r="C1210" s="116">
        <v>0.018495067891635436</v>
      </c>
      <c r="D1210" s="114" t="s">
        <v>1710</v>
      </c>
      <c r="E1210" s="114" t="b">
        <v>0</v>
      </c>
      <c r="F1210" s="114" t="b">
        <v>0</v>
      </c>
      <c r="G1210" s="114" t="b">
        <v>0</v>
      </c>
    </row>
    <row r="1211" spans="1:7" ht="15">
      <c r="A1211" s="114" t="s">
        <v>1741</v>
      </c>
      <c r="B1211" s="114">
        <v>40</v>
      </c>
      <c r="C1211" s="116">
        <v>0.009894283143538995</v>
      </c>
      <c r="D1211" s="114" t="s">
        <v>1710</v>
      </c>
      <c r="E1211" s="114" t="b">
        <v>0</v>
      </c>
      <c r="F1211" s="114" t="b">
        <v>0</v>
      </c>
      <c r="G1211" s="114" t="b">
        <v>0</v>
      </c>
    </row>
    <row r="1212" spans="1:7" ht="15">
      <c r="A1212" s="114" t="s">
        <v>1740</v>
      </c>
      <c r="B1212" s="114">
        <v>36</v>
      </c>
      <c r="C1212" s="116">
        <v>0.007927108657083577</v>
      </c>
      <c r="D1212" s="114" t="s">
        <v>1710</v>
      </c>
      <c r="E1212" s="114" t="b">
        <v>0</v>
      </c>
      <c r="F1212" s="114" t="b">
        <v>0</v>
      </c>
      <c r="G1212" s="114" t="b">
        <v>0</v>
      </c>
    </row>
    <row r="1213" spans="1:7" ht="15">
      <c r="A1213" s="114" t="s">
        <v>1743</v>
      </c>
      <c r="B1213" s="114">
        <v>34</v>
      </c>
      <c r="C1213" s="116">
        <v>0.008410140672008147</v>
      </c>
      <c r="D1213" s="114" t="s">
        <v>1710</v>
      </c>
      <c r="E1213" s="114" t="b">
        <v>0</v>
      </c>
      <c r="F1213" s="114" t="b">
        <v>0</v>
      </c>
      <c r="G1213" s="114" t="b">
        <v>0</v>
      </c>
    </row>
    <row r="1214" spans="1:7" ht="15">
      <c r="A1214" s="114" t="s">
        <v>1742</v>
      </c>
      <c r="B1214" s="114">
        <v>34</v>
      </c>
      <c r="C1214" s="116">
        <v>0.019314956028024067</v>
      </c>
      <c r="D1214" s="114" t="s">
        <v>1710</v>
      </c>
      <c r="E1214" s="114" t="b">
        <v>0</v>
      </c>
      <c r="F1214" s="114" t="b">
        <v>0</v>
      </c>
      <c r="G1214" s="114" t="b">
        <v>0</v>
      </c>
    </row>
    <row r="1215" spans="1:7" ht="15">
      <c r="A1215" s="114" t="s">
        <v>1744</v>
      </c>
      <c r="B1215" s="114">
        <v>27</v>
      </c>
      <c r="C1215" s="116">
        <v>0.011285679876252577</v>
      </c>
      <c r="D1215" s="114" t="s">
        <v>1710</v>
      </c>
      <c r="E1215" s="114" t="b">
        <v>0</v>
      </c>
      <c r="F1215" s="114" t="b">
        <v>0</v>
      </c>
      <c r="G1215" s="114" t="b">
        <v>0</v>
      </c>
    </row>
    <row r="1216" spans="1:7" ht="15">
      <c r="A1216" s="114" t="s">
        <v>1756</v>
      </c>
      <c r="B1216" s="114">
        <v>26</v>
      </c>
      <c r="C1216" s="116">
        <v>0.013309223068161954</v>
      </c>
      <c r="D1216" s="114" t="s">
        <v>1710</v>
      </c>
      <c r="E1216" s="114" t="b">
        <v>0</v>
      </c>
      <c r="F1216" s="114" t="b">
        <v>0</v>
      </c>
      <c r="G1216" s="114" t="b">
        <v>0</v>
      </c>
    </row>
    <row r="1217" spans="1:7" ht="15">
      <c r="A1217" s="114" t="s">
        <v>1749</v>
      </c>
      <c r="B1217" s="114">
        <v>19</v>
      </c>
      <c r="C1217" s="116">
        <v>0.02081040852849333</v>
      </c>
      <c r="D1217" s="114" t="s">
        <v>1710</v>
      </c>
      <c r="E1217" s="114" t="b">
        <v>0</v>
      </c>
      <c r="F1217" s="114" t="b">
        <v>0</v>
      </c>
      <c r="G1217" s="114" t="b">
        <v>0</v>
      </c>
    </row>
    <row r="1218" spans="1:7" ht="15">
      <c r="A1218" s="114" t="s">
        <v>1746</v>
      </c>
      <c r="B1218" s="114">
        <v>16</v>
      </c>
      <c r="C1218" s="116">
        <v>0.006687810297038564</v>
      </c>
      <c r="D1218" s="114" t="s">
        <v>1710</v>
      </c>
      <c r="E1218" s="114" t="b">
        <v>0</v>
      </c>
      <c r="F1218" s="114" t="b">
        <v>1</v>
      </c>
      <c r="G1218" s="114" t="b">
        <v>0</v>
      </c>
    </row>
    <row r="1219" spans="1:7" ht="15">
      <c r="A1219" s="114" t="s">
        <v>1751</v>
      </c>
      <c r="B1219" s="114">
        <v>14</v>
      </c>
      <c r="C1219" s="116">
        <v>0.0071665047290102825</v>
      </c>
      <c r="D1219" s="114" t="s">
        <v>1710</v>
      </c>
      <c r="E1219" s="114" t="b">
        <v>0</v>
      </c>
      <c r="F1219" s="114" t="b">
        <v>1</v>
      </c>
      <c r="G1219" s="114" t="b">
        <v>0</v>
      </c>
    </row>
    <row r="1220" spans="1:7" ht="15">
      <c r="A1220" s="114" t="s">
        <v>1747</v>
      </c>
      <c r="B1220" s="114">
        <v>13</v>
      </c>
      <c r="C1220" s="116">
        <v>0.009225890385366852</v>
      </c>
      <c r="D1220" s="114" t="s">
        <v>1710</v>
      </c>
      <c r="E1220" s="114" t="b">
        <v>0</v>
      </c>
      <c r="F1220" s="114" t="b">
        <v>0</v>
      </c>
      <c r="G1220" s="114" t="b">
        <v>0</v>
      </c>
    </row>
    <row r="1221" spans="1:7" ht="15">
      <c r="A1221" s="114" t="s">
        <v>1805</v>
      </c>
      <c r="B1221" s="114">
        <v>12</v>
      </c>
      <c r="C1221" s="116">
        <v>0.006817043304008494</v>
      </c>
      <c r="D1221" s="114" t="s">
        <v>1710</v>
      </c>
      <c r="E1221" s="114" t="b">
        <v>0</v>
      </c>
      <c r="F1221" s="114" t="b">
        <v>0</v>
      </c>
      <c r="G1221" s="114" t="b">
        <v>0</v>
      </c>
    </row>
    <row r="1222" spans="1:7" ht="15">
      <c r="A1222" s="114" t="s">
        <v>1760</v>
      </c>
      <c r="B1222" s="114">
        <v>10</v>
      </c>
      <c r="C1222" s="116">
        <v>0.013869803916269257</v>
      </c>
      <c r="D1222" s="114" t="s">
        <v>1710</v>
      </c>
      <c r="E1222" s="114" t="b">
        <v>0</v>
      </c>
      <c r="F1222" s="114" t="b">
        <v>0</v>
      </c>
      <c r="G1222" s="114" t="b">
        <v>0</v>
      </c>
    </row>
    <row r="1223" spans="1:7" ht="15">
      <c r="A1223" s="114" t="s">
        <v>1748</v>
      </c>
      <c r="B1223" s="114">
        <v>10</v>
      </c>
      <c r="C1223" s="116">
        <v>0.005118931949293059</v>
      </c>
      <c r="D1223" s="114" t="s">
        <v>1710</v>
      </c>
      <c r="E1223" s="114" t="b">
        <v>0</v>
      </c>
      <c r="F1223" s="114" t="b">
        <v>0</v>
      </c>
      <c r="G1223" s="114" t="b">
        <v>0</v>
      </c>
    </row>
    <row r="1224" spans="1:7" ht="15">
      <c r="A1224" s="114" t="s">
        <v>1837</v>
      </c>
      <c r="B1224" s="114">
        <v>10</v>
      </c>
      <c r="C1224" s="116">
        <v>0.010952846593943858</v>
      </c>
      <c r="D1224" s="114" t="s">
        <v>1710</v>
      </c>
      <c r="E1224" s="114" t="b">
        <v>0</v>
      </c>
      <c r="F1224" s="114" t="b">
        <v>0</v>
      </c>
      <c r="G1224" s="114" t="b">
        <v>0</v>
      </c>
    </row>
    <row r="1225" spans="1:7" ht="15">
      <c r="A1225" s="114" t="s">
        <v>1899</v>
      </c>
      <c r="B1225" s="114">
        <v>9</v>
      </c>
      <c r="C1225" s="116">
        <v>0.006387154882177051</v>
      </c>
      <c r="D1225" s="114" t="s">
        <v>1710</v>
      </c>
      <c r="E1225" s="114" t="b">
        <v>0</v>
      </c>
      <c r="F1225" s="114" t="b">
        <v>0</v>
      </c>
      <c r="G1225" s="114" t="b">
        <v>0</v>
      </c>
    </row>
    <row r="1226" spans="1:7" ht="15">
      <c r="A1226" s="114" t="s">
        <v>1836</v>
      </c>
      <c r="B1226" s="114">
        <v>9</v>
      </c>
      <c r="C1226" s="116">
        <v>0.012482823524642332</v>
      </c>
      <c r="D1226" s="114" t="s">
        <v>1710</v>
      </c>
      <c r="E1226" s="114" t="b">
        <v>0</v>
      </c>
      <c r="F1226" s="114" t="b">
        <v>0</v>
      </c>
      <c r="G1226" s="114" t="b">
        <v>0</v>
      </c>
    </row>
    <row r="1227" spans="1:7" ht="15">
      <c r="A1227" s="114" t="s">
        <v>1787</v>
      </c>
      <c r="B1227" s="114">
        <v>8</v>
      </c>
      <c r="C1227" s="116">
        <v>0.004544695536005662</v>
      </c>
      <c r="D1227" s="114" t="s">
        <v>1710</v>
      </c>
      <c r="E1227" s="114" t="b">
        <v>0</v>
      </c>
      <c r="F1227" s="114" t="b">
        <v>0</v>
      </c>
      <c r="G1227" s="114" t="b">
        <v>0</v>
      </c>
    </row>
    <row r="1228" spans="1:7" ht="15">
      <c r="A1228" s="114" t="s">
        <v>1896</v>
      </c>
      <c r="B1228" s="114">
        <v>8</v>
      </c>
      <c r="C1228" s="116">
        <v>0.005063662897483285</v>
      </c>
      <c r="D1228" s="114" t="s">
        <v>1710</v>
      </c>
      <c r="E1228" s="114" t="b">
        <v>0</v>
      </c>
      <c r="F1228" s="114" t="b">
        <v>0</v>
      </c>
      <c r="G1228" s="114" t="b">
        <v>0</v>
      </c>
    </row>
    <row r="1229" spans="1:7" ht="15">
      <c r="A1229" s="114" t="s">
        <v>1940</v>
      </c>
      <c r="B1229" s="114">
        <v>7</v>
      </c>
      <c r="C1229" s="116">
        <v>0.0076669926157607</v>
      </c>
      <c r="D1229" s="114" t="s">
        <v>1710</v>
      </c>
      <c r="E1229" s="114" t="b">
        <v>0</v>
      </c>
      <c r="F1229" s="114" t="b">
        <v>0</v>
      </c>
      <c r="G1229" s="114" t="b">
        <v>0</v>
      </c>
    </row>
    <row r="1230" spans="1:7" ht="15">
      <c r="A1230" s="114" t="s">
        <v>1750</v>
      </c>
      <c r="B1230" s="114">
        <v>7</v>
      </c>
      <c r="C1230" s="116">
        <v>0.005625122490132921</v>
      </c>
      <c r="D1230" s="114" t="s">
        <v>1710</v>
      </c>
      <c r="E1230" s="114" t="b">
        <v>0</v>
      </c>
      <c r="F1230" s="114" t="b">
        <v>0</v>
      </c>
      <c r="G1230" s="114" t="b">
        <v>0</v>
      </c>
    </row>
    <row r="1231" spans="1:7" ht="15">
      <c r="A1231" s="114" t="s">
        <v>1941</v>
      </c>
      <c r="B1231" s="114">
        <v>7</v>
      </c>
      <c r="C1231" s="116">
        <v>0.00970886274138848</v>
      </c>
      <c r="D1231" s="114" t="s">
        <v>1710</v>
      </c>
      <c r="E1231" s="114" t="b">
        <v>0</v>
      </c>
      <c r="F1231" s="114" t="b">
        <v>0</v>
      </c>
      <c r="G1231" s="114" t="b">
        <v>0</v>
      </c>
    </row>
    <row r="1232" spans="1:7" ht="15">
      <c r="A1232" s="114" t="s">
        <v>1890</v>
      </c>
      <c r="B1232" s="114">
        <v>7</v>
      </c>
      <c r="C1232" s="116">
        <v>0.00970886274138848</v>
      </c>
      <c r="D1232" s="114" t="s">
        <v>1710</v>
      </c>
      <c r="E1232" s="114" t="b">
        <v>0</v>
      </c>
      <c r="F1232" s="114" t="b">
        <v>0</v>
      </c>
      <c r="G1232" s="114" t="b">
        <v>0</v>
      </c>
    </row>
    <row r="1233" spans="1:7" ht="15">
      <c r="A1233" s="114" t="s">
        <v>1767</v>
      </c>
      <c r="B1233" s="114">
        <v>6</v>
      </c>
      <c r="C1233" s="116">
        <v>0.005547921566507703</v>
      </c>
      <c r="D1233" s="114" t="s">
        <v>1710</v>
      </c>
      <c r="E1233" s="114" t="b">
        <v>0</v>
      </c>
      <c r="F1233" s="114" t="b">
        <v>0</v>
      </c>
      <c r="G1233" s="114" t="b">
        <v>0</v>
      </c>
    </row>
    <row r="1234" spans="1:7" ht="15">
      <c r="A1234" s="114" t="s">
        <v>1823</v>
      </c>
      <c r="B1234" s="114">
        <v>6</v>
      </c>
      <c r="C1234" s="116">
        <v>0.004821533562971075</v>
      </c>
      <c r="D1234" s="114" t="s">
        <v>1710</v>
      </c>
      <c r="E1234" s="114" t="b">
        <v>0</v>
      </c>
      <c r="F1234" s="114" t="b">
        <v>0</v>
      </c>
      <c r="G1234" s="114" t="b">
        <v>0</v>
      </c>
    </row>
    <row r="1235" spans="1:7" ht="15">
      <c r="A1235" s="114" t="s">
        <v>1877</v>
      </c>
      <c r="B1235" s="114">
        <v>6</v>
      </c>
      <c r="C1235" s="116">
        <v>0.004821533562971075</v>
      </c>
      <c r="D1235" s="114" t="s">
        <v>1710</v>
      </c>
      <c r="E1235" s="114" t="b">
        <v>0</v>
      </c>
      <c r="F1235" s="114" t="b">
        <v>0</v>
      </c>
      <c r="G1235" s="114" t="b">
        <v>0</v>
      </c>
    </row>
    <row r="1236" spans="1:7" ht="15">
      <c r="A1236" s="114" t="s">
        <v>1765</v>
      </c>
      <c r="B1236" s="114">
        <v>6</v>
      </c>
      <c r="C1236" s="116">
        <v>0.004821533562971075</v>
      </c>
      <c r="D1236" s="114" t="s">
        <v>1710</v>
      </c>
      <c r="E1236" s="114" t="b">
        <v>0</v>
      </c>
      <c r="F1236" s="114" t="b">
        <v>0</v>
      </c>
      <c r="G1236" s="114" t="b">
        <v>0</v>
      </c>
    </row>
    <row r="1237" spans="1:7" ht="15">
      <c r="A1237" s="114" t="s">
        <v>1894</v>
      </c>
      <c r="B1237" s="114">
        <v>6</v>
      </c>
      <c r="C1237" s="116">
        <v>0.006571707956366315</v>
      </c>
      <c r="D1237" s="114" t="s">
        <v>1710</v>
      </c>
      <c r="E1237" s="114" t="b">
        <v>0</v>
      </c>
      <c r="F1237" s="114" t="b">
        <v>0</v>
      </c>
      <c r="G1237" s="114" t="b">
        <v>0</v>
      </c>
    </row>
    <row r="1238" spans="1:7" ht="15">
      <c r="A1238" s="114" t="s">
        <v>1758</v>
      </c>
      <c r="B1238" s="114">
        <v>5</v>
      </c>
      <c r="C1238" s="116">
        <v>0.004623267972089752</v>
      </c>
      <c r="D1238" s="114" t="s">
        <v>1710</v>
      </c>
      <c r="E1238" s="114" t="b">
        <v>0</v>
      </c>
      <c r="F1238" s="114" t="b">
        <v>0</v>
      </c>
      <c r="G1238" s="114" t="b">
        <v>0</v>
      </c>
    </row>
    <row r="1239" spans="1:7" ht="15">
      <c r="A1239" s="114" t="s">
        <v>1788</v>
      </c>
      <c r="B1239" s="114">
        <v>5</v>
      </c>
      <c r="C1239" s="116">
        <v>0.005476423296971929</v>
      </c>
      <c r="D1239" s="114" t="s">
        <v>1710</v>
      </c>
      <c r="E1239" s="114" t="b">
        <v>0</v>
      </c>
      <c r="F1239" s="114" t="b">
        <v>0</v>
      </c>
      <c r="G1239" s="114" t="b">
        <v>0</v>
      </c>
    </row>
    <row r="1240" spans="1:7" ht="15">
      <c r="A1240" s="114" t="s">
        <v>1966</v>
      </c>
      <c r="B1240" s="114">
        <v>5</v>
      </c>
      <c r="C1240" s="116">
        <v>0.004623267972089752</v>
      </c>
      <c r="D1240" s="114" t="s">
        <v>1710</v>
      </c>
      <c r="E1240" s="114" t="b">
        <v>0</v>
      </c>
      <c r="F1240" s="114" t="b">
        <v>0</v>
      </c>
      <c r="G1240" s="114" t="b">
        <v>0</v>
      </c>
    </row>
    <row r="1241" spans="1:7" ht="15">
      <c r="A1241" s="114" t="s">
        <v>2001</v>
      </c>
      <c r="B1241" s="114">
        <v>5</v>
      </c>
      <c r="C1241" s="116">
        <v>0.006934901958134628</v>
      </c>
      <c r="D1241" s="114" t="s">
        <v>1710</v>
      </c>
      <c r="E1241" s="114" t="b">
        <v>0</v>
      </c>
      <c r="F1241" s="114" t="b">
        <v>0</v>
      </c>
      <c r="G1241" s="114" t="b">
        <v>0</v>
      </c>
    </row>
    <row r="1242" spans="1:7" ht="15">
      <c r="A1242" s="114" t="s">
        <v>1995</v>
      </c>
      <c r="B1242" s="114">
        <v>5</v>
      </c>
      <c r="C1242" s="116">
        <v>0.006934901958134628</v>
      </c>
      <c r="D1242" s="114" t="s">
        <v>1710</v>
      </c>
      <c r="E1242" s="114" t="b">
        <v>0</v>
      </c>
      <c r="F1242" s="114" t="b">
        <v>0</v>
      </c>
      <c r="G1242" s="114" t="b">
        <v>0</v>
      </c>
    </row>
    <row r="1243" spans="1:7" ht="15">
      <c r="A1243" s="114" t="s">
        <v>1993</v>
      </c>
      <c r="B1243" s="114">
        <v>5</v>
      </c>
      <c r="C1243" s="116">
        <v>0.006934901958134628</v>
      </c>
      <c r="D1243" s="114" t="s">
        <v>1710</v>
      </c>
      <c r="E1243" s="114" t="b">
        <v>0</v>
      </c>
      <c r="F1243" s="114" t="b">
        <v>0</v>
      </c>
      <c r="G1243" s="114" t="b">
        <v>0</v>
      </c>
    </row>
    <row r="1244" spans="1:7" ht="15">
      <c r="A1244" s="114" t="s">
        <v>1919</v>
      </c>
      <c r="B1244" s="114">
        <v>4</v>
      </c>
      <c r="C1244" s="116">
        <v>0.004381138637577543</v>
      </c>
      <c r="D1244" s="114" t="s">
        <v>1710</v>
      </c>
      <c r="E1244" s="114" t="b">
        <v>0</v>
      </c>
      <c r="F1244" s="114" t="b">
        <v>0</v>
      </c>
      <c r="G1244" s="114" t="b">
        <v>0</v>
      </c>
    </row>
    <row r="1245" spans="1:7" ht="15">
      <c r="A1245" s="114" t="s">
        <v>2050</v>
      </c>
      <c r="B1245" s="114">
        <v>4</v>
      </c>
      <c r="C1245" s="116">
        <v>0.0032143557086473837</v>
      </c>
      <c r="D1245" s="114" t="s">
        <v>1710</v>
      </c>
      <c r="E1245" s="114" t="b">
        <v>0</v>
      </c>
      <c r="F1245" s="114" t="b">
        <v>0</v>
      </c>
      <c r="G1245" s="114" t="b">
        <v>0</v>
      </c>
    </row>
    <row r="1246" spans="1:7" ht="15">
      <c r="A1246" s="114" t="s">
        <v>1818</v>
      </c>
      <c r="B1246" s="114">
        <v>4</v>
      </c>
      <c r="C1246" s="116">
        <v>0.0032143557086473837</v>
      </c>
      <c r="D1246" s="114" t="s">
        <v>1710</v>
      </c>
      <c r="E1246" s="114" t="b">
        <v>0</v>
      </c>
      <c r="F1246" s="114" t="b">
        <v>0</v>
      </c>
      <c r="G1246" s="114" t="b">
        <v>0</v>
      </c>
    </row>
    <row r="1247" spans="1:7" ht="15">
      <c r="A1247" s="114" t="s">
        <v>1816</v>
      </c>
      <c r="B1247" s="114">
        <v>4</v>
      </c>
      <c r="C1247" s="116">
        <v>0.0032143557086473837</v>
      </c>
      <c r="D1247" s="114" t="s">
        <v>1710</v>
      </c>
      <c r="E1247" s="114" t="b">
        <v>0</v>
      </c>
      <c r="F1247" s="114" t="b">
        <v>0</v>
      </c>
      <c r="G1247" s="114" t="b">
        <v>0</v>
      </c>
    </row>
    <row r="1248" spans="1:7" ht="15">
      <c r="A1248" s="114" t="s">
        <v>1872</v>
      </c>
      <c r="B1248" s="114">
        <v>4</v>
      </c>
      <c r="C1248" s="116">
        <v>0.005547921566507703</v>
      </c>
      <c r="D1248" s="114" t="s">
        <v>1710</v>
      </c>
      <c r="E1248" s="114" t="b">
        <v>0</v>
      </c>
      <c r="F1248" s="114" t="b">
        <v>0</v>
      </c>
      <c r="G1248" s="114" t="b">
        <v>0</v>
      </c>
    </row>
    <row r="1249" spans="1:7" ht="15">
      <c r="A1249" s="114" t="s">
        <v>2045</v>
      </c>
      <c r="B1249" s="114">
        <v>4</v>
      </c>
      <c r="C1249" s="116">
        <v>0.005547921566507703</v>
      </c>
      <c r="D1249" s="114" t="s">
        <v>1710</v>
      </c>
      <c r="E1249" s="114" t="b">
        <v>0</v>
      </c>
      <c r="F1249" s="114" t="b">
        <v>0</v>
      </c>
      <c r="G1249" s="114" t="b">
        <v>0</v>
      </c>
    </row>
    <row r="1250" spans="1:7" ht="15">
      <c r="A1250" s="114" t="s">
        <v>1825</v>
      </c>
      <c r="B1250" s="114">
        <v>4</v>
      </c>
      <c r="C1250" s="116">
        <v>0.0032143557086473837</v>
      </c>
      <c r="D1250" s="114" t="s">
        <v>1710</v>
      </c>
      <c r="E1250" s="114" t="b">
        <v>0</v>
      </c>
      <c r="F1250" s="114" t="b">
        <v>0</v>
      </c>
      <c r="G1250" s="114" t="b">
        <v>0</v>
      </c>
    </row>
    <row r="1251" spans="1:7" ht="15">
      <c r="A1251" s="114" t="s">
        <v>1854</v>
      </c>
      <c r="B1251" s="114">
        <v>4</v>
      </c>
      <c r="C1251" s="116">
        <v>0.004381138637577543</v>
      </c>
      <c r="D1251" s="114" t="s">
        <v>1710</v>
      </c>
      <c r="E1251" s="114" t="b">
        <v>0</v>
      </c>
      <c r="F1251" s="114" t="b">
        <v>0</v>
      </c>
      <c r="G1251" s="114" t="b">
        <v>0</v>
      </c>
    </row>
    <row r="1252" spans="1:7" ht="15">
      <c r="A1252" s="114" t="s">
        <v>1855</v>
      </c>
      <c r="B1252" s="114">
        <v>4</v>
      </c>
      <c r="C1252" s="116">
        <v>0.004381138637577543</v>
      </c>
      <c r="D1252" s="114" t="s">
        <v>1710</v>
      </c>
      <c r="E1252" s="114" t="b">
        <v>0</v>
      </c>
      <c r="F1252" s="114" t="b">
        <v>0</v>
      </c>
      <c r="G1252" s="114" t="b">
        <v>0</v>
      </c>
    </row>
    <row r="1253" spans="1:7" ht="15">
      <c r="A1253" s="114" t="s">
        <v>1999</v>
      </c>
      <c r="B1253" s="114">
        <v>4</v>
      </c>
      <c r="C1253" s="116">
        <v>0.004381138637577543</v>
      </c>
      <c r="D1253" s="114" t="s">
        <v>1710</v>
      </c>
      <c r="E1253" s="114" t="b">
        <v>0</v>
      </c>
      <c r="F1253" s="114" t="b">
        <v>0</v>
      </c>
      <c r="G1253" s="114" t="b">
        <v>0</v>
      </c>
    </row>
    <row r="1254" spans="1:7" ht="15">
      <c r="A1254" s="114" t="s">
        <v>2065</v>
      </c>
      <c r="B1254" s="114">
        <v>4</v>
      </c>
      <c r="C1254" s="116">
        <v>0.005547921566507703</v>
      </c>
      <c r="D1254" s="114" t="s">
        <v>1710</v>
      </c>
      <c r="E1254" s="114" t="b">
        <v>0</v>
      </c>
      <c r="F1254" s="114" t="b">
        <v>0</v>
      </c>
      <c r="G1254" s="114" t="b">
        <v>0</v>
      </c>
    </row>
    <row r="1255" spans="1:7" ht="15">
      <c r="A1255" s="114" t="s">
        <v>2049</v>
      </c>
      <c r="B1255" s="114">
        <v>4</v>
      </c>
      <c r="C1255" s="116">
        <v>0.005547921566507703</v>
      </c>
      <c r="D1255" s="114" t="s">
        <v>1710</v>
      </c>
      <c r="E1255" s="114" t="b">
        <v>0</v>
      </c>
      <c r="F1255" s="114" t="b">
        <v>0</v>
      </c>
      <c r="G1255" s="114" t="b">
        <v>0</v>
      </c>
    </row>
    <row r="1256" spans="1:7" ht="15">
      <c r="A1256" s="114" t="s">
        <v>1992</v>
      </c>
      <c r="B1256" s="114">
        <v>4</v>
      </c>
      <c r="C1256" s="116">
        <v>0.005547921566507703</v>
      </c>
      <c r="D1256" s="114" t="s">
        <v>1710</v>
      </c>
      <c r="E1256" s="114" t="b">
        <v>0</v>
      </c>
      <c r="F1256" s="114" t="b">
        <v>1</v>
      </c>
      <c r="G1256" s="114" t="b">
        <v>0</v>
      </c>
    </row>
    <row r="1257" spans="1:7" ht="15">
      <c r="A1257" s="114" t="s">
        <v>2047</v>
      </c>
      <c r="B1257" s="114">
        <v>4</v>
      </c>
      <c r="C1257" s="116">
        <v>0.005547921566507703</v>
      </c>
      <c r="D1257" s="114" t="s">
        <v>1710</v>
      </c>
      <c r="E1257" s="114" t="b">
        <v>0</v>
      </c>
      <c r="F1257" s="114" t="b">
        <v>0</v>
      </c>
      <c r="G1257" s="114" t="b">
        <v>0</v>
      </c>
    </row>
    <row r="1258" spans="1:7" ht="15">
      <c r="A1258" s="114" t="s">
        <v>2183</v>
      </c>
      <c r="B1258" s="114">
        <v>3</v>
      </c>
      <c r="C1258" s="116">
        <v>0.004160941174880777</v>
      </c>
      <c r="D1258" s="114" t="s">
        <v>1710</v>
      </c>
      <c r="E1258" s="114" t="b">
        <v>0</v>
      </c>
      <c r="F1258" s="114" t="b">
        <v>0</v>
      </c>
      <c r="G1258" s="114" t="b">
        <v>0</v>
      </c>
    </row>
    <row r="1259" spans="1:7" ht="15">
      <c r="A1259" s="114" t="s">
        <v>2184</v>
      </c>
      <c r="B1259" s="114">
        <v>3</v>
      </c>
      <c r="C1259" s="116">
        <v>0.004160941174880777</v>
      </c>
      <c r="D1259" s="114" t="s">
        <v>1710</v>
      </c>
      <c r="E1259" s="114" t="b">
        <v>0</v>
      </c>
      <c r="F1259" s="114" t="b">
        <v>0</v>
      </c>
      <c r="G1259" s="114" t="b">
        <v>0</v>
      </c>
    </row>
    <row r="1260" spans="1:7" ht="15">
      <c r="A1260" s="114" t="s">
        <v>2171</v>
      </c>
      <c r="B1260" s="114">
        <v>3</v>
      </c>
      <c r="C1260" s="116">
        <v>0.0032858539781831573</v>
      </c>
      <c r="D1260" s="114" t="s">
        <v>1710</v>
      </c>
      <c r="E1260" s="114" t="b">
        <v>0</v>
      </c>
      <c r="F1260" s="114" t="b">
        <v>0</v>
      </c>
      <c r="G1260" s="114" t="b">
        <v>0</v>
      </c>
    </row>
    <row r="1261" spans="1:7" ht="15">
      <c r="A1261" s="114" t="s">
        <v>1997</v>
      </c>
      <c r="B1261" s="114">
        <v>3</v>
      </c>
      <c r="C1261" s="116">
        <v>0.0027739607832538513</v>
      </c>
      <c r="D1261" s="114" t="s">
        <v>1710</v>
      </c>
      <c r="E1261" s="114" t="b">
        <v>0</v>
      </c>
      <c r="F1261" s="114" t="b">
        <v>0</v>
      </c>
      <c r="G1261" s="114" t="b">
        <v>0</v>
      </c>
    </row>
    <row r="1262" spans="1:7" ht="15">
      <c r="A1262" s="114" t="s">
        <v>1847</v>
      </c>
      <c r="B1262" s="114">
        <v>3</v>
      </c>
      <c r="C1262" s="116">
        <v>0.0027739607832538513</v>
      </c>
      <c r="D1262" s="114" t="s">
        <v>1710</v>
      </c>
      <c r="E1262" s="114" t="b">
        <v>0</v>
      </c>
      <c r="F1262" s="114" t="b">
        <v>0</v>
      </c>
      <c r="G1262" s="114" t="b">
        <v>0</v>
      </c>
    </row>
    <row r="1263" spans="1:7" ht="15">
      <c r="A1263" s="114" t="s">
        <v>1784</v>
      </c>
      <c r="B1263" s="114">
        <v>3</v>
      </c>
      <c r="C1263" s="116">
        <v>0.0027739607832538513</v>
      </c>
      <c r="D1263" s="114" t="s">
        <v>1710</v>
      </c>
      <c r="E1263" s="114" t="b">
        <v>0</v>
      </c>
      <c r="F1263" s="114" t="b">
        <v>0</v>
      </c>
      <c r="G1263" s="114" t="b">
        <v>0</v>
      </c>
    </row>
    <row r="1264" spans="1:7" ht="15">
      <c r="A1264" s="114" t="s">
        <v>2160</v>
      </c>
      <c r="B1264" s="114">
        <v>3</v>
      </c>
      <c r="C1264" s="116">
        <v>0.0032858539781831573</v>
      </c>
      <c r="D1264" s="114" t="s">
        <v>1710</v>
      </c>
      <c r="E1264" s="114" t="b">
        <v>0</v>
      </c>
      <c r="F1264" s="114" t="b">
        <v>0</v>
      </c>
      <c r="G1264" s="114" t="b">
        <v>0</v>
      </c>
    </row>
    <row r="1265" spans="1:7" ht="15">
      <c r="A1265" s="114" t="s">
        <v>2181</v>
      </c>
      <c r="B1265" s="114">
        <v>3</v>
      </c>
      <c r="C1265" s="116">
        <v>0.004160941174880777</v>
      </c>
      <c r="D1265" s="114" t="s">
        <v>1710</v>
      </c>
      <c r="E1265" s="114" t="b">
        <v>0</v>
      </c>
      <c r="F1265" s="114" t="b">
        <v>0</v>
      </c>
      <c r="G1265" s="114" t="b">
        <v>0</v>
      </c>
    </row>
    <row r="1266" spans="1:7" ht="15">
      <c r="A1266" s="114" t="s">
        <v>2182</v>
      </c>
      <c r="B1266" s="114">
        <v>3</v>
      </c>
      <c r="C1266" s="116">
        <v>0.004160941174880777</v>
      </c>
      <c r="D1266" s="114" t="s">
        <v>1710</v>
      </c>
      <c r="E1266" s="114" t="b">
        <v>0</v>
      </c>
      <c r="F1266" s="114" t="b">
        <v>0</v>
      </c>
      <c r="G1266" s="114" t="b">
        <v>0</v>
      </c>
    </row>
    <row r="1267" spans="1:7" ht="15">
      <c r="A1267" s="114" t="s">
        <v>1777</v>
      </c>
      <c r="B1267" s="114">
        <v>3</v>
      </c>
      <c r="C1267" s="116">
        <v>0.0032858539781831573</v>
      </c>
      <c r="D1267" s="114" t="s">
        <v>1710</v>
      </c>
      <c r="E1267" s="114" t="b">
        <v>0</v>
      </c>
      <c r="F1267" s="114" t="b">
        <v>0</v>
      </c>
      <c r="G1267" s="114" t="b">
        <v>0</v>
      </c>
    </row>
    <row r="1268" spans="1:7" ht="15">
      <c r="A1268" s="114" t="s">
        <v>2158</v>
      </c>
      <c r="B1268" s="114">
        <v>3</v>
      </c>
      <c r="C1268" s="116">
        <v>0.0027739607832538513</v>
      </c>
      <c r="D1268" s="114" t="s">
        <v>1710</v>
      </c>
      <c r="E1268" s="114" t="b">
        <v>0</v>
      </c>
      <c r="F1268" s="114" t="b">
        <v>0</v>
      </c>
      <c r="G1268" s="114" t="b">
        <v>0</v>
      </c>
    </row>
    <row r="1269" spans="1:7" ht="15">
      <c r="A1269" s="114" t="s">
        <v>1798</v>
      </c>
      <c r="B1269" s="114">
        <v>3</v>
      </c>
      <c r="C1269" s="116">
        <v>0.0027739607832538513</v>
      </c>
      <c r="D1269" s="114" t="s">
        <v>1710</v>
      </c>
      <c r="E1269" s="114" t="b">
        <v>0</v>
      </c>
      <c r="F1269" s="114" t="b">
        <v>0</v>
      </c>
      <c r="G1269" s="114" t="b">
        <v>0</v>
      </c>
    </row>
    <row r="1270" spans="1:7" ht="15">
      <c r="A1270" s="114" t="s">
        <v>1912</v>
      </c>
      <c r="B1270" s="114">
        <v>3</v>
      </c>
      <c r="C1270" s="116">
        <v>0.0027739607832538513</v>
      </c>
      <c r="D1270" s="114" t="s">
        <v>1710</v>
      </c>
      <c r="E1270" s="114" t="b">
        <v>0</v>
      </c>
      <c r="F1270" s="114" t="b">
        <v>0</v>
      </c>
      <c r="G1270" s="114" t="b">
        <v>0</v>
      </c>
    </row>
    <row r="1271" spans="1:7" ht="15">
      <c r="A1271" s="114" t="s">
        <v>2178</v>
      </c>
      <c r="B1271" s="114">
        <v>3</v>
      </c>
      <c r="C1271" s="116">
        <v>0.004160941174880777</v>
      </c>
      <c r="D1271" s="114" t="s">
        <v>1710</v>
      </c>
      <c r="E1271" s="114" t="b">
        <v>0</v>
      </c>
      <c r="F1271" s="114" t="b">
        <v>0</v>
      </c>
      <c r="G1271" s="114" t="b">
        <v>0</v>
      </c>
    </row>
    <row r="1272" spans="1:7" ht="15">
      <c r="A1272" s="114" t="s">
        <v>2179</v>
      </c>
      <c r="B1272" s="114">
        <v>3</v>
      </c>
      <c r="C1272" s="116">
        <v>0.004160941174880777</v>
      </c>
      <c r="D1272" s="114" t="s">
        <v>1710</v>
      </c>
      <c r="E1272" s="114" t="b">
        <v>0</v>
      </c>
      <c r="F1272" s="114" t="b">
        <v>0</v>
      </c>
      <c r="G1272" s="114" t="b">
        <v>0</v>
      </c>
    </row>
    <row r="1273" spans="1:7" ht="15">
      <c r="A1273" s="114" t="s">
        <v>2173</v>
      </c>
      <c r="B1273" s="114">
        <v>3</v>
      </c>
      <c r="C1273" s="116">
        <v>0.0032858539781831573</v>
      </c>
      <c r="D1273" s="114" t="s">
        <v>1710</v>
      </c>
      <c r="E1273" s="114" t="b">
        <v>0</v>
      </c>
      <c r="F1273" s="114" t="b">
        <v>0</v>
      </c>
      <c r="G1273" s="114" t="b">
        <v>0</v>
      </c>
    </row>
    <row r="1274" spans="1:7" ht="15">
      <c r="A1274" s="114" t="s">
        <v>2066</v>
      </c>
      <c r="B1274" s="114">
        <v>3</v>
      </c>
      <c r="C1274" s="116">
        <v>0.0032858539781831573</v>
      </c>
      <c r="D1274" s="114" t="s">
        <v>1710</v>
      </c>
      <c r="E1274" s="114" t="b">
        <v>0</v>
      </c>
      <c r="F1274" s="114" t="b">
        <v>0</v>
      </c>
      <c r="G1274" s="114" t="b">
        <v>0</v>
      </c>
    </row>
    <row r="1275" spans="1:7" ht="15">
      <c r="A1275" s="114" t="s">
        <v>2144</v>
      </c>
      <c r="B1275" s="114">
        <v>3</v>
      </c>
      <c r="C1275" s="116">
        <v>0.0032858539781831573</v>
      </c>
      <c r="D1275" s="114" t="s">
        <v>1710</v>
      </c>
      <c r="E1275" s="114" t="b">
        <v>0</v>
      </c>
      <c r="F1275" s="114" t="b">
        <v>0</v>
      </c>
      <c r="G1275" s="114" t="b">
        <v>0</v>
      </c>
    </row>
    <row r="1276" spans="1:7" ht="15">
      <c r="A1276" s="114" t="s">
        <v>1803</v>
      </c>
      <c r="B1276" s="114">
        <v>3</v>
      </c>
      <c r="C1276" s="116">
        <v>0.0032858539781831573</v>
      </c>
      <c r="D1276" s="114" t="s">
        <v>1710</v>
      </c>
      <c r="E1276" s="114" t="b">
        <v>0</v>
      </c>
      <c r="F1276" s="114" t="b">
        <v>0</v>
      </c>
      <c r="G1276" s="114" t="b">
        <v>0</v>
      </c>
    </row>
    <row r="1277" spans="1:7" ht="15">
      <c r="A1277" s="114" t="s">
        <v>1804</v>
      </c>
      <c r="B1277" s="114">
        <v>3</v>
      </c>
      <c r="C1277" s="116">
        <v>0.0032858539781831573</v>
      </c>
      <c r="D1277" s="114" t="s">
        <v>1710</v>
      </c>
      <c r="E1277" s="114" t="b">
        <v>0</v>
      </c>
      <c r="F1277" s="114" t="b">
        <v>0</v>
      </c>
      <c r="G1277" s="114" t="b">
        <v>0</v>
      </c>
    </row>
    <row r="1278" spans="1:7" ht="15">
      <c r="A1278" s="114" t="s">
        <v>1915</v>
      </c>
      <c r="B1278" s="114">
        <v>3</v>
      </c>
      <c r="C1278" s="116">
        <v>0.004160941174880777</v>
      </c>
      <c r="D1278" s="114" t="s">
        <v>1710</v>
      </c>
      <c r="E1278" s="114" t="b">
        <v>0</v>
      </c>
      <c r="F1278" s="114" t="b">
        <v>0</v>
      </c>
      <c r="G1278" s="114" t="b">
        <v>0</v>
      </c>
    </row>
    <row r="1279" spans="1:7" ht="15">
      <c r="A1279" s="114" t="s">
        <v>2167</v>
      </c>
      <c r="B1279" s="114">
        <v>3</v>
      </c>
      <c r="C1279" s="116">
        <v>0.004160941174880777</v>
      </c>
      <c r="D1279" s="114" t="s">
        <v>1710</v>
      </c>
      <c r="E1279" s="114" t="b">
        <v>0</v>
      </c>
      <c r="F1279" s="114" t="b">
        <v>1</v>
      </c>
      <c r="G1279" s="114" t="b">
        <v>0</v>
      </c>
    </row>
    <row r="1280" spans="1:7" ht="15">
      <c r="A1280" s="114" t="s">
        <v>2157</v>
      </c>
      <c r="B1280" s="114">
        <v>3</v>
      </c>
      <c r="C1280" s="116">
        <v>0.004160941174880777</v>
      </c>
      <c r="D1280" s="114" t="s">
        <v>1710</v>
      </c>
      <c r="E1280" s="114" t="b">
        <v>0</v>
      </c>
      <c r="F1280" s="114" t="b">
        <v>0</v>
      </c>
      <c r="G1280" s="114" t="b">
        <v>0</v>
      </c>
    </row>
    <row r="1281" spans="1:7" ht="15">
      <c r="A1281" s="114" t="s">
        <v>1770</v>
      </c>
      <c r="B1281" s="114">
        <v>3</v>
      </c>
      <c r="C1281" s="116">
        <v>0.004160941174880777</v>
      </c>
      <c r="D1281" s="114" t="s">
        <v>1710</v>
      </c>
      <c r="E1281" s="114" t="b">
        <v>0</v>
      </c>
      <c r="F1281" s="114" t="b">
        <v>0</v>
      </c>
      <c r="G1281" s="114" t="b">
        <v>0</v>
      </c>
    </row>
    <row r="1282" spans="1:7" ht="15">
      <c r="A1282" s="114" t="s">
        <v>2154</v>
      </c>
      <c r="B1282" s="114">
        <v>3</v>
      </c>
      <c r="C1282" s="116">
        <v>0.004160941174880777</v>
      </c>
      <c r="D1282" s="114" t="s">
        <v>1710</v>
      </c>
      <c r="E1282" s="114" t="b">
        <v>0</v>
      </c>
      <c r="F1282" s="114" t="b">
        <v>0</v>
      </c>
      <c r="G1282" s="114" t="b">
        <v>0</v>
      </c>
    </row>
    <row r="1283" spans="1:7" ht="15">
      <c r="A1283" s="114" t="s">
        <v>2153</v>
      </c>
      <c r="B1283" s="114">
        <v>3</v>
      </c>
      <c r="C1283" s="116">
        <v>0.004160941174880777</v>
      </c>
      <c r="D1283" s="114" t="s">
        <v>1710</v>
      </c>
      <c r="E1283" s="114" t="b">
        <v>0</v>
      </c>
      <c r="F1283" s="114" t="b">
        <v>0</v>
      </c>
      <c r="G1283" s="114" t="b">
        <v>0</v>
      </c>
    </row>
    <row r="1284" spans="1:7" ht="15">
      <c r="A1284" s="114" t="s">
        <v>1876</v>
      </c>
      <c r="B1284" s="114">
        <v>3</v>
      </c>
      <c r="C1284" s="116">
        <v>0.004160941174880777</v>
      </c>
      <c r="D1284" s="114" t="s">
        <v>1710</v>
      </c>
      <c r="E1284" s="114" t="b">
        <v>0</v>
      </c>
      <c r="F1284" s="114" t="b">
        <v>0</v>
      </c>
      <c r="G1284" s="114" t="b">
        <v>0</v>
      </c>
    </row>
    <row r="1285" spans="1:7" ht="15">
      <c r="A1285" s="114" t="s">
        <v>2149</v>
      </c>
      <c r="B1285" s="114">
        <v>3</v>
      </c>
      <c r="C1285" s="116">
        <v>0.004160941174880777</v>
      </c>
      <c r="D1285" s="114" t="s">
        <v>1710</v>
      </c>
      <c r="E1285" s="114" t="b">
        <v>0</v>
      </c>
      <c r="F1285" s="114" t="b">
        <v>0</v>
      </c>
      <c r="G1285" s="114" t="b">
        <v>0</v>
      </c>
    </row>
    <row r="1286" spans="1:7" ht="15">
      <c r="A1286" s="114" t="s">
        <v>2150</v>
      </c>
      <c r="B1286" s="114">
        <v>3</v>
      </c>
      <c r="C1286" s="116">
        <v>0.004160941174880777</v>
      </c>
      <c r="D1286" s="114" t="s">
        <v>1710</v>
      </c>
      <c r="E1286" s="114" t="b">
        <v>0</v>
      </c>
      <c r="F1286" s="114" t="b">
        <v>0</v>
      </c>
      <c r="G1286" s="114" t="b">
        <v>0</v>
      </c>
    </row>
    <row r="1287" spans="1:7" ht="15">
      <c r="A1287" s="114" t="s">
        <v>2147</v>
      </c>
      <c r="B1287" s="114">
        <v>3</v>
      </c>
      <c r="C1287" s="116">
        <v>0.004160941174880777</v>
      </c>
      <c r="D1287" s="114" t="s">
        <v>1710</v>
      </c>
      <c r="E1287" s="114" t="b">
        <v>0</v>
      </c>
      <c r="F1287" s="114" t="b">
        <v>0</v>
      </c>
      <c r="G1287" s="114" t="b">
        <v>0</v>
      </c>
    </row>
    <row r="1288" spans="1:7" ht="15">
      <c r="A1288" s="114" t="s">
        <v>1780</v>
      </c>
      <c r="B1288" s="114">
        <v>2</v>
      </c>
      <c r="C1288" s="116">
        <v>0.0021905693187887717</v>
      </c>
      <c r="D1288" s="114" t="s">
        <v>1710</v>
      </c>
      <c r="E1288" s="114" t="b">
        <v>0</v>
      </c>
      <c r="F1288" s="114" t="b">
        <v>0</v>
      </c>
      <c r="G1288" s="114" t="b">
        <v>0</v>
      </c>
    </row>
    <row r="1289" spans="1:7" ht="15">
      <c r="A1289" s="114" t="s">
        <v>1781</v>
      </c>
      <c r="B1289" s="114">
        <v>2</v>
      </c>
      <c r="C1289" s="116">
        <v>0.0021905693187887717</v>
      </c>
      <c r="D1289" s="114" t="s">
        <v>1710</v>
      </c>
      <c r="E1289" s="114" t="b">
        <v>0</v>
      </c>
      <c r="F1289" s="114" t="b">
        <v>0</v>
      </c>
      <c r="G1289" s="114" t="b">
        <v>0</v>
      </c>
    </row>
    <row r="1290" spans="1:7" ht="15">
      <c r="A1290" s="114" t="s">
        <v>1869</v>
      </c>
      <c r="B1290" s="114">
        <v>2</v>
      </c>
      <c r="C1290" s="116">
        <v>0.0021905693187887717</v>
      </c>
      <c r="D1290" s="114" t="s">
        <v>1710</v>
      </c>
      <c r="E1290" s="114" t="b">
        <v>0</v>
      </c>
      <c r="F1290" s="114" t="b">
        <v>0</v>
      </c>
      <c r="G1290" s="114" t="b">
        <v>0</v>
      </c>
    </row>
    <row r="1291" spans="1:7" ht="15">
      <c r="A1291" s="114" t="s">
        <v>1870</v>
      </c>
      <c r="B1291" s="114">
        <v>2</v>
      </c>
      <c r="C1291" s="116">
        <v>0.0021905693187887717</v>
      </c>
      <c r="D1291" s="114" t="s">
        <v>1710</v>
      </c>
      <c r="E1291" s="114" t="b">
        <v>0</v>
      </c>
      <c r="F1291" s="114" t="b">
        <v>0</v>
      </c>
      <c r="G1291" s="114" t="b">
        <v>0</v>
      </c>
    </row>
    <row r="1292" spans="1:7" ht="15">
      <c r="A1292" s="114" t="s">
        <v>2342</v>
      </c>
      <c r="B1292" s="114">
        <v>2</v>
      </c>
      <c r="C1292" s="116">
        <v>0.0027739607832538513</v>
      </c>
      <c r="D1292" s="114" t="s">
        <v>1710</v>
      </c>
      <c r="E1292" s="114" t="b">
        <v>0</v>
      </c>
      <c r="F1292" s="114" t="b">
        <v>0</v>
      </c>
      <c r="G1292" s="114" t="b">
        <v>0</v>
      </c>
    </row>
    <row r="1293" spans="1:7" ht="15">
      <c r="A1293" s="114" t="s">
        <v>2343</v>
      </c>
      <c r="B1293" s="114">
        <v>2</v>
      </c>
      <c r="C1293" s="116">
        <v>0.0027739607832538513</v>
      </c>
      <c r="D1293" s="114" t="s">
        <v>1710</v>
      </c>
      <c r="E1293" s="114" t="b">
        <v>0</v>
      </c>
      <c r="F1293" s="114" t="b">
        <v>0</v>
      </c>
      <c r="G1293" s="114" t="b">
        <v>0</v>
      </c>
    </row>
    <row r="1294" spans="1:7" ht="15">
      <c r="A1294" s="114" t="s">
        <v>2068</v>
      </c>
      <c r="B1294" s="114">
        <v>2</v>
      </c>
      <c r="C1294" s="116">
        <v>0.0021905693187887717</v>
      </c>
      <c r="D1294" s="114" t="s">
        <v>1710</v>
      </c>
      <c r="E1294" s="114" t="b">
        <v>0</v>
      </c>
      <c r="F1294" s="114" t="b">
        <v>0</v>
      </c>
      <c r="G1294" s="114" t="b">
        <v>0</v>
      </c>
    </row>
    <row r="1295" spans="1:7" ht="15">
      <c r="A1295" s="114" t="s">
        <v>1826</v>
      </c>
      <c r="B1295" s="114">
        <v>2</v>
      </c>
      <c r="C1295" s="116">
        <v>0.0021905693187887717</v>
      </c>
      <c r="D1295" s="114" t="s">
        <v>1710</v>
      </c>
      <c r="E1295" s="114" t="b">
        <v>0</v>
      </c>
      <c r="F1295" s="114" t="b">
        <v>0</v>
      </c>
      <c r="G1295" s="114" t="b">
        <v>0</v>
      </c>
    </row>
    <row r="1296" spans="1:7" ht="15">
      <c r="A1296" s="114" t="s">
        <v>1848</v>
      </c>
      <c r="B1296" s="114">
        <v>2</v>
      </c>
      <c r="C1296" s="116">
        <v>0.0021905693187887717</v>
      </c>
      <c r="D1296" s="114" t="s">
        <v>1710</v>
      </c>
      <c r="E1296" s="114" t="b">
        <v>0</v>
      </c>
      <c r="F1296" s="114" t="b">
        <v>1</v>
      </c>
      <c r="G1296" s="114" t="b">
        <v>0</v>
      </c>
    </row>
    <row r="1297" spans="1:7" ht="15">
      <c r="A1297" s="114" t="s">
        <v>2316</v>
      </c>
      <c r="B1297" s="114">
        <v>2</v>
      </c>
      <c r="C1297" s="116">
        <v>0.0021905693187887717</v>
      </c>
      <c r="D1297" s="114" t="s">
        <v>1710</v>
      </c>
      <c r="E1297" s="114" t="b">
        <v>0</v>
      </c>
      <c r="F1297" s="114" t="b">
        <v>0</v>
      </c>
      <c r="G1297" s="114" t="b">
        <v>0</v>
      </c>
    </row>
    <row r="1298" spans="1:7" ht="15">
      <c r="A1298" s="114" t="s">
        <v>1965</v>
      </c>
      <c r="B1298" s="114">
        <v>2</v>
      </c>
      <c r="C1298" s="116">
        <v>0.0021905693187887717</v>
      </c>
      <c r="D1298" s="114" t="s">
        <v>1710</v>
      </c>
      <c r="E1298" s="114" t="b">
        <v>1</v>
      </c>
      <c r="F1298" s="114" t="b">
        <v>0</v>
      </c>
      <c r="G1298" s="114" t="b">
        <v>0</v>
      </c>
    </row>
    <row r="1299" spans="1:7" ht="15">
      <c r="A1299" s="114" t="s">
        <v>1875</v>
      </c>
      <c r="B1299" s="114">
        <v>2</v>
      </c>
      <c r="C1299" s="116">
        <v>0.0021905693187887717</v>
      </c>
      <c r="D1299" s="114" t="s">
        <v>1710</v>
      </c>
      <c r="E1299" s="114" t="b">
        <v>0</v>
      </c>
      <c r="F1299" s="114" t="b">
        <v>0</v>
      </c>
      <c r="G1299" s="114" t="b">
        <v>0</v>
      </c>
    </row>
    <row r="1300" spans="1:7" ht="15">
      <c r="A1300" s="114" t="s">
        <v>2291</v>
      </c>
      <c r="B1300" s="114">
        <v>2</v>
      </c>
      <c r="C1300" s="116">
        <v>0.0027739607832538513</v>
      </c>
      <c r="D1300" s="114" t="s">
        <v>1710</v>
      </c>
      <c r="E1300" s="114" t="b">
        <v>0</v>
      </c>
      <c r="F1300" s="114" t="b">
        <v>0</v>
      </c>
      <c r="G1300" s="114" t="b">
        <v>0</v>
      </c>
    </row>
    <row r="1301" spans="1:7" ht="15">
      <c r="A1301" s="114" t="s">
        <v>2052</v>
      </c>
      <c r="B1301" s="114">
        <v>2</v>
      </c>
      <c r="C1301" s="116">
        <v>0.0021905693187887717</v>
      </c>
      <c r="D1301" s="114" t="s">
        <v>1710</v>
      </c>
      <c r="E1301" s="114" t="b">
        <v>0</v>
      </c>
      <c r="F1301" s="114" t="b">
        <v>0</v>
      </c>
      <c r="G1301" s="114" t="b">
        <v>0</v>
      </c>
    </row>
    <row r="1302" spans="1:7" ht="15">
      <c r="A1302" s="114" t="s">
        <v>2053</v>
      </c>
      <c r="B1302" s="114">
        <v>2</v>
      </c>
      <c r="C1302" s="116">
        <v>0.0021905693187887717</v>
      </c>
      <c r="D1302" s="114" t="s">
        <v>1710</v>
      </c>
      <c r="E1302" s="114" t="b">
        <v>0</v>
      </c>
      <c r="F1302" s="114" t="b">
        <v>0</v>
      </c>
      <c r="G1302" s="114" t="b">
        <v>0</v>
      </c>
    </row>
    <row r="1303" spans="1:7" ht="15">
      <c r="A1303" s="114" t="s">
        <v>2054</v>
      </c>
      <c r="B1303" s="114">
        <v>2</v>
      </c>
      <c r="C1303" s="116">
        <v>0.0021905693187887717</v>
      </c>
      <c r="D1303" s="114" t="s">
        <v>1710</v>
      </c>
      <c r="E1303" s="114" t="b">
        <v>0</v>
      </c>
      <c r="F1303" s="114" t="b">
        <v>0</v>
      </c>
      <c r="G1303" s="114" t="b">
        <v>0</v>
      </c>
    </row>
    <row r="1304" spans="1:7" ht="15">
      <c r="A1304" s="114" t="s">
        <v>2055</v>
      </c>
      <c r="B1304" s="114">
        <v>2</v>
      </c>
      <c r="C1304" s="116">
        <v>0.0021905693187887717</v>
      </c>
      <c r="D1304" s="114" t="s">
        <v>1710</v>
      </c>
      <c r="E1304" s="114" t="b">
        <v>0</v>
      </c>
      <c r="F1304" s="114" t="b">
        <v>0</v>
      </c>
      <c r="G1304" s="114" t="b">
        <v>0</v>
      </c>
    </row>
    <row r="1305" spans="1:7" ht="15">
      <c r="A1305" s="114" t="s">
        <v>2161</v>
      </c>
      <c r="B1305" s="114">
        <v>2</v>
      </c>
      <c r="C1305" s="116">
        <v>0.0021905693187887717</v>
      </c>
      <c r="D1305" s="114" t="s">
        <v>1710</v>
      </c>
      <c r="E1305" s="114" t="b">
        <v>0</v>
      </c>
      <c r="F1305" s="114" t="b">
        <v>0</v>
      </c>
      <c r="G1305" s="114" t="b">
        <v>0</v>
      </c>
    </row>
    <row r="1306" spans="1:7" ht="15">
      <c r="A1306" s="114" t="s">
        <v>2162</v>
      </c>
      <c r="B1306" s="114">
        <v>2</v>
      </c>
      <c r="C1306" s="116">
        <v>0.0021905693187887717</v>
      </c>
      <c r="D1306" s="114" t="s">
        <v>1710</v>
      </c>
      <c r="E1306" s="114" t="b">
        <v>0</v>
      </c>
      <c r="F1306" s="114" t="b">
        <v>0</v>
      </c>
      <c r="G1306" s="114" t="b">
        <v>0</v>
      </c>
    </row>
    <row r="1307" spans="1:7" ht="15">
      <c r="A1307" s="114" t="s">
        <v>2056</v>
      </c>
      <c r="B1307" s="114">
        <v>2</v>
      </c>
      <c r="C1307" s="116">
        <v>0.0021905693187887717</v>
      </c>
      <c r="D1307" s="114" t="s">
        <v>1710</v>
      </c>
      <c r="E1307" s="114" t="b">
        <v>0</v>
      </c>
      <c r="F1307" s="114" t="b">
        <v>0</v>
      </c>
      <c r="G1307" s="114" t="b">
        <v>0</v>
      </c>
    </row>
    <row r="1308" spans="1:7" ht="15">
      <c r="A1308" s="114" t="s">
        <v>2057</v>
      </c>
      <c r="B1308" s="114">
        <v>2</v>
      </c>
      <c r="C1308" s="116">
        <v>0.0021905693187887717</v>
      </c>
      <c r="D1308" s="114" t="s">
        <v>1710</v>
      </c>
      <c r="E1308" s="114" t="b">
        <v>0</v>
      </c>
      <c r="F1308" s="114" t="b">
        <v>0</v>
      </c>
      <c r="G1308" s="114" t="b">
        <v>0</v>
      </c>
    </row>
    <row r="1309" spans="1:7" ht="15">
      <c r="A1309" s="114" t="s">
        <v>2058</v>
      </c>
      <c r="B1309" s="114">
        <v>2</v>
      </c>
      <c r="C1309" s="116">
        <v>0.0021905693187887717</v>
      </c>
      <c r="D1309" s="114" t="s">
        <v>1710</v>
      </c>
      <c r="E1309" s="114" t="b">
        <v>0</v>
      </c>
      <c r="F1309" s="114" t="b">
        <v>0</v>
      </c>
      <c r="G1309" s="114" t="b">
        <v>0</v>
      </c>
    </row>
    <row r="1310" spans="1:7" ht="15">
      <c r="A1310" s="114" t="s">
        <v>2059</v>
      </c>
      <c r="B1310" s="114">
        <v>2</v>
      </c>
      <c r="C1310" s="116">
        <v>0.0021905693187887717</v>
      </c>
      <c r="D1310" s="114" t="s">
        <v>1710</v>
      </c>
      <c r="E1310" s="114" t="b">
        <v>0</v>
      </c>
      <c r="F1310" s="114" t="b">
        <v>0</v>
      </c>
      <c r="G1310" s="114" t="b">
        <v>0</v>
      </c>
    </row>
    <row r="1311" spans="1:7" ht="15">
      <c r="A1311" s="114" t="s">
        <v>2060</v>
      </c>
      <c r="B1311" s="114">
        <v>2</v>
      </c>
      <c r="C1311" s="116">
        <v>0.0021905693187887717</v>
      </c>
      <c r="D1311" s="114" t="s">
        <v>1710</v>
      </c>
      <c r="E1311" s="114" t="b">
        <v>0</v>
      </c>
      <c r="F1311" s="114" t="b">
        <v>0</v>
      </c>
      <c r="G1311" s="114" t="b">
        <v>0</v>
      </c>
    </row>
    <row r="1312" spans="1:7" ht="15">
      <c r="A1312" s="114" t="s">
        <v>2061</v>
      </c>
      <c r="B1312" s="114">
        <v>2</v>
      </c>
      <c r="C1312" s="116">
        <v>0.0021905693187887717</v>
      </c>
      <c r="D1312" s="114" t="s">
        <v>1710</v>
      </c>
      <c r="E1312" s="114" t="b">
        <v>0</v>
      </c>
      <c r="F1312" s="114" t="b">
        <v>0</v>
      </c>
      <c r="G1312" s="114" t="b">
        <v>0</v>
      </c>
    </row>
    <row r="1313" spans="1:7" ht="15">
      <c r="A1313" s="114" t="s">
        <v>2163</v>
      </c>
      <c r="B1313" s="114">
        <v>2</v>
      </c>
      <c r="C1313" s="116">
        <v>0.0021905693187887717</v>
      </c>
      <c r="D1313" s="114" t="s">
        <v>1710</v>
      </c>
      <c r="E1313" s="114" t="b">
        <v>0</v>
      </c>
      <c r="F1313" s="114" t="b">
        <v>0</v>
      </c>
      <c r="G1313" s="114" t="b">
        <v>0</v>
      </c>
    </row>
    <row r="1314" spans="1:7" ht="15">
      <c r="A1314" s="114" t="s">
        <v>2164</v>
      </c>
      <c r="B1314" s="114">
        <v>2</v>
      </c>
      <c r="C1314" s="116">
        <v>0.0021905693187887717</v>
      </c>
      <c r="D1314" s="114" t="s">
        <v>1710</v>
      </c>
      <c r="E1314" s="114" t="b">
        <v>0</v>
      </c>
      <c r="F1314" s="114" t="b">
        <v>0</v>
      </c>
      <c r="G1314" s="114" t="b">
        <v>0</v>
      </c>
    </row>
    <row r="1315" spans="1:7" ht="15">
      <c r="A1315" s="114" t="s">
        <v>2165</v>
      </c>
      <c r="B1315" s="114">
        <v>2</v>
      </c>
      <c r="C1315" s="116">
        <v>0.0021905693187887717</v>
      </c>
      <c r="D1315" s="114" t="s">
        <v>1710</v>
      </c>
      <c r="E1315" s="114" t="b">
        <v>0</v>
      </c>
      <c r="F1315" s="114" t="b">
        <v>0</v>
      </c>
      <c r="G1315" s="114" t="b">
        <v>0</v>
      </c>
    </row>
    <row r="1316" spans="1:7" ht="15">
      <c r="A1316" s="114" t="s">
        <v>2166</v>
      </c>
      <c r="B1316" s="114">
        <v>2</v>
      </c>
      <c r="C1316" s="116">
        <v>0.0021905693187887717</v>
      </c>
      <c r="D1316" s="114" t="s">
        <v>1710</v>
      </c>
      <c r="E1316" s="114" t="b">
        <v>0</v>
      </c>
      <c r="F1316" s="114" t="b">
        <v>0</v>
      </c>
      <c r="G1316" s="114" t="b">
        <v>0</v>
      </c>
    </row>
    <row r="1317" spans="1:7" ht="15">
      <c r="A1317" s="114" t="s">
        <v>2323</v>
      </c>
      <c r="B1317" s="114">
        <v>2</v>
      </c>
      <c r="C1317" s="116">
        <v>0.0021905693187887717</v>
      </c>
      <c r="D1317" s="114" t="s">
        <v>1710</v>
      </c>
      <c r="E1317" s="114" t="b">
        <v>0</v>
      </c>
      <c r="F1317" s="114" t="b">
        <v>0</v>
      </c>
      <c r="G1317" s="114" t="b">
        <v>0</v>
      </c>
    </row>
    <row r="1318" spans="1:7" ht="15">
      <c r="A1318" s="114" t="s">
        <v>1982</v>
      </c>
      <c r="B1318" s="114">
        <v>2</v>
      </c>
      <c r="C1318" s="116">
        <v>0.0021905693187887717</v>
      </c>
      <c r="D1318" s="114" t="s">
        <v>1710</v>
      </c>
      <c r="E1318" s="114" t="b">
        <v>0</v>
      </c>
      <c r="F1318" s="114" t="b">
        <v>0</v>
      </c>
      <c r="G1318" s="114" t="b">
        <v>0</v>
      </c>
    </row>
    <row r="1319" spans="1:7" ht="15">
      <c r="A1319" s="114" t="s">
        <v>2324</v>
      </c>
      <c r="B1319" s="114">
        <v>2</v>
      </c>
      <c r="C1319" s="116">
        <v>0.0021905693187887717</v>
      </c>
      <c r="D1319" s="114" t="s">
        <v>1710</v>
      </c>
      <c r="E1319" s="114" t="b">
        <v>0</v>
      </c>
      <c r="F1319" s="114" t="b">
        <v>0</v>
      </c>
      <c r="G1319" s="114" t="b">
        <v>0</v>
      </c>
    </row>
    <row r="1320" spans="1:7" ht="15">
      <c r="A1320" s="114" t="s">
        <v>2000</v>
      </c>
      <c r="B1320" s="114">
        <v>2</v>
      </c>
      <c r="C1320" s="116">
        <v>0.0021905693187887717</v>
      </c>
      <c r="D1320" s="114" t="s">
        <v>1710</v>
      </c>
      <c r="E1320" s="114" t="b">
        <v>0</v>
      </c>
      <c r="F1320" s="114" t="b">
        <v>0</v>
      </c>
      <c r="G1320" s="114" t="b">
        <v>0</v>
      </c>
    </row>
    <row r="1321" spans="1:7" ht="15">
      <c r="A1321" s="114" t="s">
        <v>2062</v>
      </c>
      <c r="B1321" s="114">
        <v>2</v>
      </c>
      <c r="C1321" s="116">
        <v>0.0021905693187887717</v>
      </c>
      <c r="D1321" s="114" t="s">
        <v>1710</v>
      </c>
      <c r="E1321" s="114" t="b">
        <v>0</v>
      </c>
      <c r="F1321" s="114" t="b">
        <v>0</v>
      </c>
      <c r="G1321" s="114" t="b">
        <v>0</v>
      </c>
    </row>
    <row r="1322" spans="1:7" ht="15">
      <c r="A1322" s="114" t="s">
        <v>2327</v>
      </c>
      <c r="B1322" s="114">
        <v>2</v>
      </c>
      <c r="C1322" s="116">
        <v>0.0021905693187887717</v>
      </c>
      <c r="D1322" s="114" t="s">
        <v>1710</v>
      </c>
      <c r="E1322" s="114" t="b">
        <v>0</v>
      </c>
      <c r="F1322" s="114" t="b">
        <v>0</v>
      </c>
      <c r="G1322" s="114" t="b">
        <v>0</v>
      </c>
    </row>
    <row r="1323" spans="1:7" ht="15">
      <c r="A1323" s="114" t="s">
        <v>2051</v>
      </c>
      <c r="B1323" s="114">
        <v>2</v>
      </c>
      <c r="C1323" s="116">
        <v>0.0021905693187887717</v>
      </c>
      <c r="D1323" s="114" t="s">
        <v>1710</v>
      </c>
      <c r="E1323" s="114" t="b">
        <v>0</v>
      </c>
      <c r="F1323" s="114" t="b">
        <v>0</v>
      </c>
      <c r="G1323" s="114" t="b">
        <v>0</v>
      </c>
    </row>
    <row r="1324" spans="1:7" ht="15">
      <c r="A1324" s="114" t="s">
        <v>2003</v>
      </c>
      <c r="B1324" s="114">
        <v>2</v>
      </c>
      <c r="C1324" s="116">
        <v>0.0027739607832538513</v>
      </c>
      <c r="D1324" s="114" t="s">
        <v>1710</v>
      </c>
      <c r="E1324" s="114" t="b">
        <v>0</v>
      </c>
      <c r="F1324" s="114" t="b">
        <v>0</v>
      </c>
      <c r="G1324" s="114" t="b">
        <v>0</v>
      </c>
    </row>
    <row r="1325" spans="1:7" ht="15">
      <c r="A1325" s="114" t="s">
        <v>2315</v>
      </c>
      <c r="B1325" s="114">
        <v>2</v>
      </c>
      <c r="C1325" s="116">
        <v>0.0021905693187887717</v>
      </c>
      <c r="D1325" s="114" t="s">
        <v>1710</v>
      </c>
      <c r="E1325" s="114" t="b">
        <v>0</v>
      </c>
      <c r="F1325" s="114" t="b">
        <v>0</v>
      </c>
      <c r="G1325" s="114" t="b">
        <v>0</v>
      </c>
    </row>
    <row r="1326" spans="1:7" ht="15">
      <c r="A1326" s="114" t="s">
        <v>2337</v>
      </c>
      <c r="B1326" s="114">
        <v>2</v>
      </c>
      <c r="C1326" s="116">
        <v>0.0027739607832538513</v>
      </c>
      <c r="D1326" s="114" t="s">
        <v>1710</v>
      </c>
      <c r="E1326" s="114" t="b">
        <v>0</v>
      </c>
      <c r="F1326" s="114" t="b">
        <v>0</v>
      </c>
      <c r="G1326" s="114" t="b">
        <v>0</v>
      </c>
    </row>
    <row r="1327" spans="1:7" ht="15">
      <c r="A1327" s="114" t="s">
        <v>2339</v>
      </c>
      <c r="B1327" s="114">
        <v>2</v>
      </c>
      <c r="C1327" s="116">
        <v>0.0027739607832538513</v>
      </c>
      <c r="D1327" s="114" t="s">
        <v>1710</v>
      </c>
      <c r="E1327" s="114" t="b">
        <v>0</v>
      </c>
      <c r="F1327" s="114" t="b">
        <v>0</v>
      </c>
      <c r="G1327" s="114" t="b">
        <v>0</v>
      </c>
    </row>
    <row r="1328" spans="1:7" ht="15">
      <c r="A1328" s="114" t="s">
        <v>1962</v>
      </c>
      <c r="B1328" s="114">
        <v>2</v>
      </c>
      <c r="C1328" s="116">
        <v>0.0027739607832538513</v>
      </c>
      <c r="D1328" s="114" t="s">
        <v>1710</v>
      </c>
      <c r="E1328" s="114" t="b">
        <v>0</v>
      </c>
      <c r="F1328" s="114" t="b">
        <v>0</v>
      </c>
      <c r="G1328" s="114" t="b">
        <v>0</v>
      </c>
    </row>
    <row r="1329" spans="1:7" ht="15">
      <c r="A1329" s="114" t="s">
        <v>1938</v>
      </c>
      <c r="B1329" s="114">
        <v>2</v>
      </c>
      <c r="C1329" s="116">
        <v>0.0027739607832538513</v>
      </c>
      <c r="D1329" s="114" t="s">
        <v>1710</v>
      </c>
      <c r="E1329" s="114" t="b">
        <v>0</v>
      </c>
      <c r="F1329" s="114" t="b">
        <v>0</v>
      </c>
      <c r="G1329" s="114" t="b">
        <v>0</v>
      </c>
    </row>
    <row r="1330" spans="1:7" ht="15">
      <c r="A1330" s="114" t="s">
        <v>2063</v>
      </c>
      <c r="B1330" s="114">
        <v>2</v>
      </c>
      <c r="C1330" s="116">
        <v>0.0021905693187887717</v>
      </c>
      <c r="D1330" s="114" t="s">
        <v>1710</v>
      </c>
      <c r="E1330" s="114" t="b">
        <v>0</v>
      </c>
      <c r="F1330" s="114" t="b">
        <v>0</v>
      </c>
      <c r="G1330" s="114" t="b">
        <v>0</v>
      </c>
    </row>
    <row r="1331" spans="1:7" ht="15">
      <c r="A1331" s="114" t="s">
        <v>2028</v>
      </c>
      <c r="B1331" s="114">
        <v>2</v>
      </c>
      <c r="C1331" s="116">
        <v>0.0027739607832538513</v>
      </c>
      <c r="D1331" s="114" t="s">
        <v>1710</v>
      </c>
      <c r="E1331" s="114" t="b">
        <v>0</v>
      </c>
      <c r="F1331" s="114" t="b">
        <v>0</v>
      </c>
      <c r="G1331" s="114" t="b">
        <v>0</v>
      </c>
    </row>
    <row r="1332" spans="1:7" ht="15">
      <c r="A1332" s="114" t="s">
        <v>1934</v>
      </c>
      <c r="B1332" s="114">
        <v>2</v>
      </c>
      <c r="C1332" s="116">
        <v>0.0027739607832538513</v>
      </c>
      <c r="D1332" s="114" t="s">
        <v>1710</v>
      </c>
      <c r="E1332" s="114" t="b">
        <v>0</v>
      </c>
      <c r="F1332" s="114" t="b">
        <v>0</v>
      </c>
      <c r="G1332" s="114" t="b">
        <v>0</v>
      </c>
    </row>
    <row r="1333" spans="1:7" ht="15">
      <c r="A1333" s="114" t="s">
        <v>2306</v>
      </c>
      <c r="B1333" s="114">
        <v>2</v>
      </c>
      <c r="C1333" s="116">
        <v>0.0021905693187887717</v>
      </c>
      <c r="D1333" s="114" t="s">
        <v>1710</v>
      </c>
      <c r="E1333" s="114" t="b">
        <v>0</v>
      </c>
      <c r="F1333" s="114" t="b">
        <v>0</v>
      </c>
      <c r="G1333" s="114" t="b">
        <v>0</v>
      </c>
    </row>
    <row r="1334" spans="1:7" ht="15">
      <c r="A1334" s="114" t="s">
        <v>1939</v>
      </c>
      <c r="B1334" s="114">
        <v>2</v>
      </c>
      <c r="C1334" s="116">
        <v>0.0021905693187887717</v>
      </c>
      <c r="D1334" s="114" t="s">
        <v>1710</v>
      </c>
      <c r="E1334" s="114" t="b">
        <v>1</v>
      </c>
      <c r="F1334" s="114" t="b">
        <v>0</v>
      </c>
      <c r="G1334" s="114" t="b">
        <v>0</v>
      </c>
    </row>
    <row r="1335" spans="1:7" ht="15">
      <c r="A1335" s="114" t="s">
        <v>1752</v>
      </c>
      <c r="B1335" s="114">
        <v>2</v>
      </c>
      <c r="C1335" s="116">
        <v>0.0021905693187887717</v>
      </c>
      <c r="D1335" s="114" t="s">
        <v>1710</v>
      </c>
      <c r="E1335" s="114" t="b">
        <v>0</v>
      </c>
      <c r="F1335" s="114" t="b">
        <v>0</v>
      </c>
      <c r="G1335" s="114" t="b">
        <v>0</v>
      </c>
    </row>
    <row r="1336" spans="1:7" ht="15">
      <c r="A1336" s="114" t="s">
        <v>2314</v>
      </c>
      <c r="B1336" s="114">
        <v>2</v>
      </c>
      <c r="C1336" s="116">
        <v>0.0027739607832538513</v>
      </c>
      <c r="D1336" s="114" t="s">
        <v>1710</v>
      </c>
      <c r="E1336" s="114" t="b">
        <v>0</v>
      </c>
      <c r="F1336" s="114" t="b">
        <v>0</v>
      </c>
      <c r="G1336" s="114" t="b">
        <v>0</v>
      </c>
    </row>
    <row r="1337" spans="1:7" ht="15">
      <c r="A1337" s="114" t="s">
        <v>2319</v>
      </c>
      <c r="B1337" s="114">
        <v>2</v>
      </c>
      <c r="C1337" s="116">
        <v>0.0027739607832538513</v>
      </c>
      <c r="D1337" s="114" t="s">
        <v>1710</v>
      </c>
      <c r="E1337" s="114" t="b">
        <v>0</v>
      </c>
      <c r="F1337" s="114" t="b">
        <v>0</v>
      </c>
      <c r="G1337" s="114" t="b">
        <v>0</v>
      </c>
    </row>
    <row r="1338" spans="1:7" ht="15">
      <c r="A1338" s="114" t="s">
        <v>2321</v>
      </c>
      <c r="B1338" s="114">
        <v>2</v>
      </c>
      <c r="C1338" s="116">
        <v>0.0027739607832538513</v>
      </c>
      <c r="D1338" s="114" t="s">
        <v>1710</v>
      </c>
      <c r="E1338" s="114" t="b">
        <v>0</v>
      </c>
      <c r="F1338" s="114" t="b">
        <v>0</v>
      </c>
      <c r="G1338" s="114" t="b">
        <v>0</v>
      </c>
    </row>
    <row r="1339" spans="1:7" ht="15">
      <c r="A1339" s="114" t="s">
        <v>2310</v>
      </c>
      <c r="B1339" s="114">
        <v>2</v>
      </c>
      <c r="C1339" s="116">
        <v>0.0027739607832538513</v>
      </c>
      <c r="D1339" s="114" t="s">
        <v>1710</v>
      </c>
      <c r="E1339" s="114" t="b">
        <v>0</v>
      </c>
      <c r="F1339" s="114" t="b">
        <v>0</v>
      </c>
      <c r="G1339" s="114" t="b">
        <v>0</v>
      </c>
    </row>
    <row r="1340" spans="1:7" ht="15">
      <c r="A1340" s="114" t="s">
        <v>2311</v>
      </c>
      <c r="B1340" s="114">
        <v>2</v>
      </c>
      <c r="C1340" s="116">
        <v>0.0027739607832538513</v>
      </c>
      <c r="D1340" s="114" t="s">
        <v>1710</v>
      </c>
      <c r="E1340" s="114" t="b">
        <v>0</v>
      </c>
      <c r="F1340" s="114" t="b">
        <v>0</v>
      </c>
      <c r="G1340" s="114" t="b">
        <v>0</v>
      </c>
    </row>
    <row r="1341" spans="1:7" ht="15">
      <c r="A1341" s="114" t="s">
        <v>1898</v>
      </c>
      <c r="B1341" s="114">
        <v>2</v>
      </c>
      <c r="C1341" s="116">
        <v>0.0027739607832538513</v>
      </c>
      <c r="D1341" s="114" t="s">
        <v>1710</v>
      </c>
      <c r="E1341" s="114" t="b">
        <v>0</v>
      </c>
      <c r="F1341" s="114" t="b">
        <v>0</v>
      </c>
      <c r="G1341" s="114" t="b">
        <v>0</v>
      </c>
    </row>
    <row r="1342" spans="1:7" ht="15">
      <c r="A1342" s="114" t="s">
        <v>2309</v>
      </c>
      <c r="B1342" s="114">
        <v>2</v>
      </c>
      <c r="C1342" s="116">
        <v>0.0027739607832538513</v>
      </c>
      <c r="D1342" s="114" t="s">
        <v>1710</v>
      </c>
      <c r="E1342" s="114" t="b">
        <v>0</v>
      </c>
      <c r="F1342" s="114" t="b">
        <v>0</v>
      </c>
      <c r="G1342" s="114" t="b">
        <v>0</v>
      </c>
    </row>
    <row r="1343" spans="1:7" ht="15">
      <c r="A1343" s="114" t="s">
        <v>2307</v>
      </c>
      <c r="B1343" s="114">
        <v>2</v>
      </c>
      <c r="C1343" s="116">
        <v>0.0027739607832538513</v>
      </c>
      <c r="D1343" s="114" t="s">
        <v>1710</v>
      </c>
      <c r="E1343" s="114" t="b">
        <v>0</v>
      </c>
      <c r="F1343" s="114" t="b">
        <v>0</v>
      </c>
      <c r="G1343" s="114" t="b">
        <v>0</v>
      </c>
    </row>
    <row r="1344" spans="1:7" ht="15">
      <c r="A1344" s="114" t="s">
        <v>2151</v>
      </c>
      <c r="B1344" s="114">
        <v>2</v>
      </c>
      <c r="C1344" s="116">
        <v>0.0027739607832538513</v>
      </c>
      <c r="D1344" s="114" t="s">
        <v>1710</v>
      </c>
      <c r="E1344" s="114" t="b">
        <v>0</v>
      </c>
      <c r="F1344" s="114" t="b">
        <v>0</v>
      </c>
      <c r="G1344" s="114" t="b">
        <v>0</v>
      </c>
    </row>
    <row r="1345" spans="1:7" ht="15">
      <c r="A1345" s="114" t="s">
        <v>2148</v>
      </c>
      <c r="B1345" s="114">
        <v>2</v>
      </c>
      <c r="C1345" s="116">
        <v>0.0027739607832538513</v>
      </c>
      <c r="D1345" s="114" t="s">
        <v>1710</v>
      </c>
      <c r="E1345" s="114" t="b">
        <v>0</v>
      </c>
      <c r="F1345" s="114" t="b">
        <v>0</v>
      </c>
      <c r="G1345" s="114" t="b">
        <v>0</v>
      </c>
    </row>
    <row r="1346" spans="1:7" ht="15">
      <c r="A1346" s="114" t="s">
        <v>2303</v>
      </c>
      <c r="B1346" s="114">
        <v>2</v>
      </c>
      <c r="C1346" s="116">
        <v>0.0027739607832538513</v>
      </c>
      <c r="D1346" s="114" t="s">
        <v>1710</v>
      </c>
      <c r="E1346" s="114" t="b">
        <v>0</v>
      </c>
      <c r="F1346" s="114" t="b">
        <v>0</v>
      </c>
      <c r="G1346" s="114" t="b">
        <v>0</v>
      </c>
    </row>
    <row r="1347" spans="1:7" ht="15">
      <c r="A1347" s="114" t="s">
        <v>2043</v>
      </c>
      <c r="B1347" s="114">
        <v>2</v>
      </c>
      <c r="C1347" s="116">
        <v>0.0027739607832538513</v>
      </c>
      <c r="D1347" s="114" t="s">
        <v>1710</v>
      </c>
      <c r="E1347" s="114" t="b">
        <v>0</v>
      </c>
      <c r="F1347" s="114" t="b">
        <v>0</v>
      </c>
      <c r="G1347" s="114" t="b">
        <v>0</v>
      </c>
    </row>
    <row r="1348" spans="1:7" ht="15">
      <c r="A1348" s="114" t="s">
        <v>1800</v>
      </c>
      <c r="B1348" s="114">
        <v>2</v>
      </c>
      <c r="C1348" s="116">
        <v>0.0027739607832538513</v>
      </c>
      <c r="D1348" s="114" t="s">
        <v>1710</v>
      </c>
      <c r="E1348" s="114" t="b">
        <v>0</v>
      </c>
      <c r="F1348" s="114" t="b">
        <v>0</v>
      </c>
      <c r="G1348" s="114" t="b">
        <v>0</v>
      </c>
    </row>
    <row r="1349" spans="1:7" ht="15">
      <c r="A1349" s="114" t="s">
        <v>1739</v>
      </c>
      <c r="B1349" s="114">
        <v>77</v>
      </c>
      <c r="C1349" s="116">
        <v>0.016920795922041595</v>
      </c>
      <c r="D1349" s="114" t="s">
        <v>1711</v>
      </c>
      <c r="E1349" s="114" t="b">
        <v>0</v>
      </c>
      <c r="F1349" s="114" t="b">
        <v>0</v>
      </c>
      <c r="G1349" s="114" t="b">
        <v>0</v>
      </c>
    </row>
    <row r="1350" spans="1:7" ht="15">
      <c r="A1350" s="114" t="s">
        <v>1740</v>
      </c>
      <c r="B1350" s="114">
        <v>58</v>
      </c>
      <c r="C1350" s="116">
        <v>0.012745534590628734</v>
      </c>
      <c r="D1350" s="114" t="s">
        <v>1711</v>
      </c>
      <c r="E1350" s="114" t="b">
        <v>0</v>
      </c>
      <c r="F1350" s="114" t="b">
        <v>0</v>
      </c>
      <c r="G1350" s="114" t="b">
        <v>0</v>
      </c>
    </row>
    <row r="1351" spans="1:7" ht="15">
      <c r="A1351" s="114" t="s">
        <v>1741</v>
      </c>
      <c r="B1351" s="114">
        <v>43</v>
      </c>
      <c r="C1351" s="116">
        <v>0.009449275644776477</v>
      </c>
      <c r="D1351" s="114" t="s">
        <v>1711</v>
      </c>
      <c r="E1351" s="114" t="b">
        <v>0</v>
      </c>
      <c r="F1351" s="114" t="b">
        <v>0</v>
      </c>
      <c r="G1351" s="114" t="b">
        <v>0</v>
      </c>
    </row>
    <row r="1352" spans="1:7" ht="15">
      <c r="A1352" s="114" t="s">
        <v>1743</v>
      </c>
      <c r="B1352" s="114">
        <v>38</v>
      </c>
      <c r="C1352" s="116">
        <v>0.009558109393901976</v>
      </c>
      <c r="D1352" s="114" t="s">
        <v>1711</v>
      </c>
      <c r="E1352" s="114" t="b">
        <v>0</v>
      </c>
      <c r="F1352" s="114" t="b">
        <v>0</v>
      </c>
      <c r="G1352" s="114" t="b">
        <v>0</v>
      </c>
    </row>
    <row r="1353" spans="1:7" ht="15">
      <c r="A1353" s="114" t="s">
        <v>1742</v>
      </c>
      <c r="B1353" s="114">
        <v>24</v>
      </c>
      <c r="C1353" s="116">
        <v>0.012073401339665652</v>
      </c>
      <c r="D1353" s="114" t="s">
        <v>1711</v>
      </c>
      <c r="E1353" s="114" t="b">
        <v>0</v>
      </c>
      <c r="F1353" s="114" t="b">
        <v>0</v>
      </c>
      <c r="G1353" s="114" t="b">
        <v>0</v>
      </c>
    </row>
    <row r="1354" spans="1:7" ht="15">
      <c r="A1354" s="114" t="s">
        <v>1748</v>
      </c>
      <c r="B1354" s="114">
        <v>16</v>
      </c>
      <c r="C1354" s="116">
        <v>0.006467978657846941</v>
      </c>
      <c r="D1354" s="114" t="s">
        <v>1711</v>
      </c>
      <c r="E1354" s="114" t="b">
        <v>0</v>
      </c>
      <c r="F1354" s="114" t="b">
        <v>0</v>
      </c>
      <c r="G1354" s="114" t="b">
        <v>0</v>
      </c>
    </row>
    <row r="1355" spans="1:7" ht="15">
      <c r="A1355" s="114" t="s">
        <v>1744</v>
      </c>
      <c r="B1355" s="114">
        <v>14</v>
      </c>
      <c r="C1355" s="116">
        <v>0.008775269343774298</v>
      </c>
      <c r="D1355" s="114" t="s">
        <v>1711</v>
      </c>
      <c r="E1355" s="114" t="b">
        <v>0</v>
      </c>
      <c r="F1355" s="114" t="b">
        <v>0</v>
      </c>
      <c r="G1355" s="114" t="b">
        <v>0</v>
      </c>
    </row>
    <row r="1356" spans="1:7" ht="15">
      <c r="A1356" s="114" t="s">
        <v>1747</v>
      </c>
      <c r="B1356" s="114">
        <v>13</v>
      </c>
      <c r="C1356" s="116">
        <v>0.008148464390647562</v>
      </c>
      <c r="D1356" s="114" t="s">
        <v>1711</v>
      </c>
      <c r="E1356" s="114" t="b">
        <v>0</v>
      </c>
      <c r="F1356" s="114" t="b">
        <v>0</v>
      </c>
      <c r="G1356" s="114" t="b">
        <v>0</v>
      </c>
    </row>
    <row r="1357" spans="1:7" ht="15">
      <c r="A1357" s="114" t="s">
        <v>1750</v>
      </c>
      <c r="B1357" s="114">
        <v>12</v>
      </c>
      <c r="C1357" s="116">
        <v>0.010828299555701703</v>
      </c>
      <c r="D1357" s="114" t="s">
        <v>1711</v>
      </c>
      <c r="E1357" s="114" t="b">
        <v>0</v>
      </c>
      <c r="F1357" s="114" t="b">
        <v>0</v>
      </c>
      <c r="G1357" s="114" t="b">
        <v>0</v>
      </c>
    </row>
    <row r="1358" spans="1:7" ht="15">
      <c r="A1358" s="114" t="s">
        <v>1746</v>
      </c>
      <c r="B1358" s="114">
        <v>12</v>
      </c>
      <c r="C1358" s="116">
        <v>0.0054141497778508515</v>
      </c>
      <c r="D1358" s="114" t="s">
        <v>1711</v>
      </c>
      <c r="E1358" s="114" t="b">
        <v>0</v>
      </c>
      <c r="F1358" s="114" t="b">
        <v>1</v>
      </c>
      <c r="G1358" s="114" t="b">
        <v>0</v>
      </c>
    </row>
    <row r="1359" spans="1:7" ht="15">
      <c r="A1359" s="114" t="s">
        <v>1839</v>
      </c>
      <c r="B1359" s="114">
        <v>12</v>
      </c>
      <c r="C1359" s="116">
        <v>0.012528146312277213</v>
      </c>
      <c r="D1359" s="114" t="s">
        <v>1711</v>
      </c>
      <c r="E1359" s="114" t="b">
        <v>0</v>
      </c>
      <c r="F1359" s="114" t="b">
        <v>0</v>
      </c>
      <c r="G1359" s="114" t="b">
        <v>0</v>
      </c>
    </row>
    <row r="1360" spans="1:7" ht="15">
      <c r="A1360" s="114" t="s">
        <v>1745</v>
      </c>
      <c r="B1360" s="114">
        <v>10</v>
      </c>
      <c r="C1360" s="116">
        <v>0.009023582963084753</v>
      </c>
      <c r="D1360" s="114" t="s">
        <v>1711</v>
      </c>
      <c r="E1360" s="114" t="b">
        <v>0</v>
      </c>
      <c r="F1360" s="114" t="b">
        <v>0</v>
      </c>
      <c r="G1360" s="114" t="b">
        <v>0</v>
      </c>
    </row>
    <row r="1361" spans="1:7" ht="15">
      <c r="A1361" s="114" t="s">
        <v>1751</v>
      </c>
      <c r="B1361" s="114">
        <v>9</v>
      </c>
      <c r="C1361" s="116">
        <v>0.0071323469830206</v>
      </c>
      <c r="D1361" s="114" t="s">
        <v>1711</v>
      </c>
      <c r="E1361" s="114" t="b">
        <v>0</v>
      </c>
      <c r="F1361" s="114" t="b">
        <v>1</v>
      </c>
      <c r="G1361" s="114" t="b">
        <v>0</v>
      </c>
    </row>
    <row r="1362" spans="1:7" ht="15">
      <c r="A1362" s="114" t="s">
        <v>1804</v>
      </c>
      <c r="B1362" s="114">
        <v>8</v>
      </c>
      <c r="C1362" s="116">
        <v>0.0063398639849072</v>
      </c>
      <c r="D1362" s="114" t="s">
        <v>1711</v>
      </c>
      <c r="E1362" s="114" t="b">
        <v>0</v>
      </c>
      <c r="F1362" s="114" t="b">
        <v>0</v>
      </c>
      <c r="G1362" s="114" t="b">
        <v>0</v>
      </c>
    </row>
    <row r="1363" spans="1:7" ht="15">
      <c r="A1363" s="114" t="s">
        <v>1753</v>
      </c>
      <c r="B1363" s="114">
        <v>8</v>
      </c>
      <c r="C1363" s="116">
        <v>0.007218866370467802</v>
      </c>
      <c r="D1363" s="114" t="s">
        <v>1711</v>
      </c>
      <c r="E1363" s="114" t="b">
        <v>0</v>
      </c>
      <c r="F1363" s="114" t="b">
        <v>0</v>
      </c>
      <c r="G1363" s="114" t="b">
        <v>0</v>
      </c>
    </row>
    <row r="1364" spans="1:7" ht="15">
      <c r="A1364" s="114" t="s">
        <v>1785</v>
      </c>
      <c r="B1364" s="114">
        <v>8</v>
      </c>
      <c r="C1364" s="116">
        <v>0.0126797279698144</v>
      </c>
      <c r="D1364" s="114" t="s">
        <v>1711</v>
      </c>
      <c r="E1364" s="114" t="b">
        <v>0</v>
      </c>
      <c r="F1364" s="114" t="b">
        <v>0</v>
      </c>
      <c r="G1364" s="114" t="b">
        <v>0</v>
      </c>
    </row>
    <row r="1365" spans="1:7" ht="15">
      <c r="A1365" s="114" t="s">
        <v>1789</v>
      </c>
      <c r="B1365" s="114">
        <v>8</v>
      </c>
      <c r="C1365" s="116">
        <v>0.0126797279698144</v>
      </c>
      <c r="D1365" s="114" t="s">
        <v>1711</v>
      </c>
      <c r="E1365" s="114" t="b">
        <v>0</v>
      </c>
      <c r="F1365" s="114" t="b">
        <v>0</v>
      </c>
      <c r="G1365" s="114" t="b">
        <v>0</v>
      </c>
    </row>
    <row r="1366" spans="1:7" ht="15">
      <c r="A1366" s="114" t="s">
        <v>1937</v>
      </c>
      <c r="B1366" s="114">
        <v>7</v>
      </c>
      <c r="C1366" s="116">
        <v>0.008705635023873464</v>
      </c>
      <c r="D1366" s="114" t="s">
        <v>1711</v>
      </c>
      <c r="E1366" s="114" t="b">
        <v>0</v>
      </c>
      <c r="F1366" s="114" t="b">
        <v>0</v>
      </c>
      <c r="G1366" s="114" t="b">
        <v>0</v>
      </c>
    </row>
    <row r="1367" spans="1:7" ht="15">
      <c r="A1367" s="114" t="s">
        <v>1914</v>
      </c>
      <c r="B1367" s="114">
        <v>7</v>
      </c>
      <c r="C1367" s="116">
        <v>0.011094761973587601</v>
      </c>
      <c r="D1367" s="114" t="s">
        <v>1711</v>
      </c>
      <c r="E1367" s="114" t="b">
        <v>0</v>
      </c>
      <c r="F1367" s="114" t="b">
        <v>0</v>
      </c>
      <c r="G1367" s="114" t="b">
        <v>0</v>
      </c>
    </row>
    <row r="1368" spans="1:7" ht="15">
      <c r="A1368" s="114" t="s">
        <v>1849</v>
      </c>
      <c r="B1368" s="114">
        <v>7</v>
      </c>
      <c r="C1368" s="116">
        <v>0.0063165080741593264</v>
      </c>
      <c r="D1368" s="114" t="s">
        <v>1711</v>
      </c>
      <c r="E1368" s="114" t="b">
        <v>0</v>
      </c>
      <c r="F1368" s="114" t="b">
        <v>0</v>
      </c>
      <c r="G1368" s="114" t="b">
        <v>0</v>
      </c>
    </row>
    <row r="1369" spans="1:7" ht="15">
      <c r="A1369" s="114" t="s">
        <v>1764</v>
      </c>
      <c r="B1369" s="114">
        <v>7</v>
      </c>
      <c r="C1369" s="116">
        <v>0.011094761973587601</v>
      </c>
      <c r="D1369" s="114" t="s">
        <v>1711</v>
      </c>
      <c r="E1369" s="114" t="b">
        <v>0</v>
      </c>
      <c r="F1369" s="114" t="b">
        <v>0</v>
      </c>
      <c r="G1369" s="114" t="b">
        <v>0</v>
      </c>
    </row>
    <row r="1370" spans="1:7" ht="15">
      <c r="A1370" s="114" t="s">
        <v>1829</v>
      </c>
      <c r="B1370" s="114">
        <v>7</v>
      </c>
      <c r="C1370" s="116">
        <v>0.011094761973587601</v>
      </c>
      <c r="D1370" s="114" t="s">
        <v>1711</v>
      </c>
      <c r="E1370" s="114" t="b">
        <v>0</v>
      </c>
      <c r="F1370" s="114" t="b">
        <v>0</v>
      </c>
      <c r="G1370" s="114" t="b">
        <v>0</v>
      </c>
    </row>
    <row r="1371" spans="1:7" ht="15">
      <c r="A1371" s="114" t="s">
        <v>1811</v>
      </c>
      <c r="B1371" s="114">
        <v>7</v>
      </c>
      <c r="C1371" s="116">
        <v>0.0055473809867938005</v>
      </c>
      <c r="D1371" s="114" t="s">
        <v>1711</v>
      </c>
      <c r="E1371" s="114" t="b">
        <v>0</v>
      </c>
      <c r="F1371" s="114" t="b">
        <v>0</v>
      </c>
      <c r="G1371" s="114" t="b">
        <v>0</v>
      </c>
    </row>
    <row r="1372" spans="1:7" ht="15">
      <c r="A1372" s="114" t="s">
        <v>1765</v>
      </c>
      <c r="B1372" s="114">
        <v>7</v>
      </c>
      <c r="C1372" s="116">
        <v>0.007308085348828375</v>
      </c>
      <c r="D1372" s="114" t="s">
        <v>1711</v>
      </c>
      <c r="E1372" s="114" t="b">
        <v>0</v>
      </c>
      <c r="F1372" s="114" t="b">
        <v>0</v>
      </c>
      <c r="G1372" s="114" t="b">
        <v>0</v>
      </c>
    </row>
    <row r="1373" spans="1:7" ht="15">
      <c r="A1373" s="114" t="s">
        <v>1936</v>
      </c>
      <c r="B1373" s="114">
        <v>7</v>
      </c>
      <c r="C1373" s="116">
        <v>0.011094761973587601</v>
      </c>
      <c r="D1373" s="114" t="s">
        <v>1711</v>
      </c>
      <c r="E1373" s="114" t="b">
        <v>0</v>
      </c>
      <c r="F1373" s="114" t="b">
        <v>0</v>
      </c>
      <c r="G1373" s="114" t="b">
        <v>0</v>
      </c>
    </row>
    <row r="1374" spans="1:7" ht="15">
      <c r="A1374" s="114" t="s">
        <v>1792</v>
      </c>
      <c r="B1374" s="114">
        <v>6</v>
      </c>
      <c r="C1374" s="116">
        <v>0.006264073156138607</v>
      </c>
      <c r="D1374" s="114" t="s">
        <v>1711</v>
      </c>
      <c r="E1374" s="114" t="b">
        <v>0</v>
      </c>
      <c r="F1374" s="114" t="b">
        <v>0</v>
      </c>
      <c r="G1374" s="114" t="b">
        <v>0</v>
      </c>
    </row>
    <row r="1375" spans="1:7" ht="15">
      <c r="A1375" s="114" t="s">
        <v>1776</v>
      </c>
      <c r="B1375" s="114">
        <v>6</v>
      </c>
      <c r="C1375" s="116">
        <v>0.006264073156138607</v>
      </c>
      <c r="D1375" s="114" t="s">
        <v>1711</v>
      </c>
      <c r="E1375" s="114" t="b">
        <v>0</v>
      </c>
      <c r="F1375" s="114" t="b">
        <v>0</v>
      </c>
      <c r="G1375" s="114" t="b">
        <v>0</v>
      </c>
    </row>
    <row r="1376" spans="1:7" ht="15">
      <c r="A1376" s="114" t="s">
        <v>1755</v>
      </c>
      <c r="B1376" s="114">
        <v>6</v>
      </c>
      <c r="C1376" s="116">
        <v>0.0047548979886804</v>
      </c>
      <c r="D1376" s="114" t="s">
        <v>1711</v>
      </c>
      <c r="E1376" s="114" t="b">
        <v>0</v>
      </c>
      <c r="F1376" s="114" t="b">
        <v>0</v>
      </c>
      <c r="G1376" s="114" t="b">
        <v>0</v>
      </c>
    </row>
    <row r="1377" spans="1:7" ht="15">
      <c r="A1377" s="114" t="s">
        <v>1827</v>
      </c>
      <c r="B1377" s="114">
        <v>6</v>
      </c>
      <c r="C1377" s="116">
        <v>0.0074619728776058256</v>
      </c>
      <c r="D1377" s="114" t="s">
        <v>1711</v>
      </c>
      <c r="E1377" s="114" t="b">
        <v>0</v>
      </c>
      <c r="F1377" s="114" t="b">
        <v>0</v>
      </c>
      <c r="G1377" s="114" t="b">
        <v>0</v>
      </c>
    </row>
    <row r="1378" spans="1:7" ht="15">
      <c r="A1378" s="114" t="s">
        <v>1859</v>
      </c>
      <c r="B1378" s="114">
        <v>6</v>
      </c>
      <c r="C1378" s="116">
        <v>0.0095097959773608</v>
      </c>
      <c r="D1378" s="114" t="s">
        <v>1711</v>
      </c>
      <c r="E1378" s="114" t="b">
        <v>0</v>
      </c>
      <c r="F1378" s="114" t="b">
        <v>0</v>
      </c>
      <c r="G1378" s="114" t="b">
        <v>0</v>
      </c>
    </row>
    <row r="1379" spans="1:7" ht="15">
      <c r="A1379" s="114" t="s">
        <v>1758</v>
      </c>
      <c r="B1379" s="114">
        <v>5</v>
      </c>
      <c r="C1379" s="116">
        <v>0.003962414990567</v>
      </c>
      <c r="D1379" s="114" t="s">
        <v>1711</v>
      </c>
      <c r="E1379" s="114" t="b">
        <v>0</v>
      </c>
      <c r="F1379" s="114" t="b">
        <v>0</v>
      </c>
      <c r="G1379" s="114" t="b">
        <v>0</v>
      </c>
    </row>
    <row r="1380" spans="1:7" ht="15">
      <c r="A1380" s="114" t="s">
        <v>1791</v>
      </c>
      <c r="B1380" s="114">
        <v>5</v>
      </c>
      <c r="C1380" s="116">
        <v>0.005220060963448839</v>
      </c>
      <c r="D1380" s="114" t="s">
        <v>1711</v>
      </c>
      <c r="E1380" s="114" t="b">
        <v>0</v>
      </c>
      <c r="F1380" s="114" t="b">
        <v>0</v>
      </c>
      <c r="G1380" s="114" t="b">
        <v>0</v>
      </c>
    </row>
    <row r="1381" spans="1:7" ht="15">
      <c r="A1381" s="114" t="s">
        <v>1788</v>
      </c>
      <c r="B1381" s="114">
        <v>5</v>
      </c>
      <c r="C1381" s="116">
        <v>0.006218310731338188</v>
      </c>
      <c r="D1381" s="114" t="s">
        <v>1711</v>
      </c>
      <c r="E1381" s="114" t="b">
        <v>0</v>
      </c>
      <c r="F1381" s="114" t="b">
        <v>0</v>
      </c>
      <c r="G1381" s="114" t="b">
        <v>0</v>
      </c>
    </row>
    <row r="1382" spans="1:7" ht="15">
      <c r="A1382" s="114" t="s">
        <v>1913</v>
      </c>
      <c r="B1382" s="114">
        <v>5</v>
      </c>
      <c r="C1382" s="116">
        <v>0.005220060963448839</v>
      </c>
      <c r="D1382" s="114" t="s">
        <v>1711</v>
      </c>
      <c r="E1382" s="114" t="b">
        <v>0</v>
      </c>
      <c r="F1382" s="114" t="b">
        <v>0</v>
      </c>
      <c r="G1382" s="114" t="b">
        <v>0</v>
      </c>
    </row>
    <row r="1383" spans="1:7" ht="15">
      <c r="A1383" s="114" t="s">
        <v>1911</v>
      </c>
      <c r="B1383" s="114">
        <v>5</v>
      </c>
      <c r="C1383" s="116">
        <v>0.006218310731338188</v>
      </c>
      <c r="D1383" s="114" t="s">
        <v>1711</v>
      </c>
      <c r="E1383" s="114" t="b">
        <v>0</v>
      </c>
      <c r="F1383" s="114" t="b">
        <v>0</v>
      </c>
      <c r="G1383" s="114" t="b">
        <v>0</v>
      </c>
    </row>
    <row r="1384" spans="1:7" ht="15">
      <c r="A1384" s="114" t="s">
        <v>1853</v>
      </c>
      <c r="B1384" s="114">
        <v>5</v>
      </c>
      <c r="C1384" s="116">
        <v>0.007924829981134</v>
      </c>
      <c r="D1384" s="114" t="s">
        <v>1711</v>
      </c>
      <c r="E1384" s="114" t="b">
        <v>0</v>
      </c>
      <c r="F1384" s="114" t="b">
        <v>0</v>
      </c>
      <c r="G1384" s="114" t="b">
        <v>0</v>
      </c>
    </row>
    <row r="1385" spans="1:7" ht="15">
      <c r="A1385" s="114" t="s">
        <v>1920</v>
      </c>
      <c r="B1385" s="114">
        <v>5</v>
      </c>
      <c r="C1385" s="116">
        <v>0.007924829981134</v>
      </c>
      <c r="D1385" s="114" t="s">
        <v>1711</v>
      </c>
      <c r="E1385" s="114" t="b">
        <v>0</v>
      </c>
      <c r="F1385" s="114" t="b">
        <v>0</v>
      </c>
      <c r="G1385" s="114" t="b">
        <v>0</v>
      </c>
    </row>
    <row r="1386" spans="1:7" ht="15">
      <c r="A1386" s="114" t="s">
        <v>1803</v>
      </c>
      <c r="B1386" s="114">
        <v>4</v>
      </c>
      <c r="C1386" s="116">
        <v>0.004974648585070551</v>
      </c>
      <c r="D1386" s="114" t="s">
        <v>1711</v>
      </c>
      <c r="E1386" s="114" t="b">
        <v>0</v>
      </c>
      <c r="F1386" s="114" t="b">
        <v>0</v>
      </c>
      <c r="G1386" s="114" t="b">
        <v>0</v>
      </c>
    </row>
    <row r="1387" spans="1:7" ht="15">
      <c r="A1387" s="114" t="s">
        <v>1985</v>
      </c>
      <c r="B1387" s="114">
        <v>4</v>
      </c>
      <c r="C1387" s="116">
        <v>0.004974648585070551</v>
      </c>
      <c r="D1387" s="114" t="s">
        <v>1711</v>
      </c>
      <c r="E1387" s="114" t="b">
        <v>0</v>
      </c>
      <c r="F1387" s="114" t="b">
        <v>0</v>
      </c>
      <c r="G1387" s="114" t="b">
        <v>0</v>
      </c>
    </row>
    <row r="1388" spans="1:7" ht="15">
      <c r="A1388" s="114" t="s">
        <v>1988</v>
      </c>
      <c r="B1388" s="114">
        <v>4</v>
      </c>
      <c r="C1388" s="116">
        <v>0.0063398639849072</v>
      </c>
      <c r="D1388" s="114" t="s">
        <v>1711</v>
      </c>
      <c r="E1388" s="114" t="b">
        <v>0</v>
      </c>
      <c r="F1388" s="114" t="b">
        <v>0</v>
      </c>
      <c r="G1388" s="114" t="b">
        <v>0</v>
      </c>
    </row>
    <row r="1389" spans="1:7" ht="15">
      <c r="A1389" s="114" t="s">
        <v>1879</v>
      </c>
      <c r="B1389" s="114">
        <v>4</v>
      </c>
      <c r="C1389" s="116">
        <v>0.003609433185233901</v>
      </c>
      <c r="D1389" s="114" t="s">
        <v>1711</v>
      </c>
      <c r="E1389" s="114" t="b">
        <v>0</v>
      </c>
      <c r="F1389" s="114" t="b">
        <v>0</v>
      </c>
      <c r="G1389" s="114" t="b">
        <v>0</v>
      </c>
    </row>
    <row r="1390" spans="1:7" ht="15">
      <c r="A1390" s="114" t="s">
        <v>1759</v>
      </c>
      <c r="B1390" s="114">
        <v>4</v>
      </c>
      <c r="C1390" s="116">
        <v>0.004974648585070551</v>
      </c>
      <c r="D1390" s="114" t="s">
        <v>1711</v>
      </c>
      <c r="E1390" s="114" t="b">
        <v>0</v>
      </c>
      <c r="F1390" s="114" t="b">
        <v>0</v>
      </c>
      <c r="G1390" s="114" t="b">
        <v>0</v>
      </c>
    </row>
    <row r="1391" spans="1:7" ht="15">
      <c r="A1391" s="114" t="s">
        <v>1784</v>
      </c>
      <c r="B1391" s="114">
        <v>4</v>
      </c>
      <c r="C1391" s="116">
        <v>0.003609433185233901</v>
      </c>
      <c r="D1391" s="114" t="s">
        <v>1711</v>
      </c>
      <c r="E1391" s="114" t="b">
        <v>0</v>
      </c>
      <c r="F1391" s="114" t="b">
        <v>0</v>
      </c>
      <c r="G1391" s="114" t="b">
        <v>0</v>
      </c>
    </row>
    <row r="1392" spans="1:7" ht="15">
      <c r="A1392" s="114" t="s">
        <v>1857</v>
      </c>
      <c r="B1392" s="114">
        <v>4</v>
      </c>
      <c r="C1392" s="116">
        <v>0.003609433185233901</v>
      </c>
      <c r="D1392" s="114" t="s">
        <v>1711</v>
      </c>
      <c r="E1392" s="114" t="b">
        <v>0</v>
      </c>
      <c r="F1392" s="114" t="b">
        <v>0</v>
      </c>
      <c r="G1392" s="114" t="b">
        <v>0</v>
      </c>
    </row>
    <row r="1393" spans="1:7" ht="15">
      <c r="A1393" s="114" t="s">
        <v>1780</v>
      </c>
      <c r="B1393" s="114">
        <v>4</v>
      </c>
      <c r="C1393" s="116">
        <v>0.003609433185233901</v>
      </c>
      <c r="D1393" s="114" t="s">
        <v>1711</v>
      </c>
      <c r="E1393" s="114" t="b">
        <v>0</v>
      </c>
      <c r="F1393" s="114" t="b">
        <v>0</v>
      </c>
      <c r="G1393" s="114" t="b">
        <v>0</v>
      </c>
    </row>
    <row r="1394" spans="1:7" ht="15">
      <c r="A1394" s="114" t="s">
        <v>1781</v>
      </c>
      <c r="B1394" s="114">
        <v>4</v>
      </c>
      <c r="C1394" s="116">
        <v>0.003609433185233901</v>
      </c>
      <c r="D1394" s="114" t="s">
        <v>1711</v>
      </c>
      <c r="E1394" s="114" t="b">
        <v>0</v>
      </c>
      <c r="F1394" s="114" t="b">
        <v>0</v>
      </c>
      <c r="G1394" s="114" t="b">
        <v>0</v>
      </c>
    </row>
    <row r="1395" spans="1:7" ht="15">
      <c r="A1395" s="114" t="s">
        <v>1761</v>
      </c>
      <c r="B1395" s="114">
        <v>4</v>
      </c>
      <c r="C1395" s="116">
        <v>0.004176048770759071</v>
      </c>
      <c r="D1395" s="114" t="s">
        <v>1711</v>
      </c>
      <c r="E1395" s="114" t="b">
        <v>0</v>
      </c>
      <c r="F1395" s="114" t="b">
        <v>0</v>
      </c>
      <c r="G1395" s="114" t="b">
        <v>0</v>
      </c>
    </row>
    <row r="1396" spans="1:7" ht="15">
      <c r="A1396" s="114" t="s">
        <v>1766</v>
      </c>
      <c r="B1396" s="114">
        <v>4</v>
      </c>
      <c r="C1396" s="116">
        <v>0.003609433185233901</v>
      </c>
      <c r="D1396" s="114" t="s">
        <v>1711</v>
      </c>
      <c r="E1396" s="114" t="b">
        <v>0</v>
      </c>
      <c r="F1396" s="114" t="b">
        <v>1</v>
      </c>
      <c r="G1396" s="114" t="b">
        <v>0</v>
      </c>
    </row>
    <row r="1397" spans="1:7" ht="15">
      <c r="A1397" s="114" t="s">
        <v>1809</v>
      </c>
      <c r="B1397" s="114">
        <v>4</v>
      </c>
      <c r="C1397" s="116">
        <v>0.004974648585070551</v>
      </c>
      <c r="D1397" s="114" t="s">
        <v>1711</v>
      </c>
      <c r="E1397" s="114" t="b">
        <v>0</v>
      </c>
      <c r="F1397" s="114" t="b">
        <v>0</v>
      </c>
      <c r="G1397" s="114" t="b">
        <v>0</v>
      </c>
    </row>
    <row r="1398" spans="1:7" ht="15">
      <c r="A1398" s="114" t="s">
        <v>1757</v>
      </c>
      <c r="B1398" s="114">
        <v>4</v>
      </c>
      <c r="C1398" s="116">
        <v>0.004974648585070551</v>
      </c>
      <c r="D1398" s="114" t="s">
        <v>1711</v>
      </c>
      <c r="E1398" s="114" t="b">
        <v>0</v>
      </c>
      <c r="F1398" s="114" t="b">
        <v>0</v>
      </c>
      <c r="G1398" s="114" t="b">
        <v>0</v>
      </c>
    </row>
    <row r="1399" spans="1:7" ht="15">
      <c r="A1399" s="114" t="s">
        <v>1795</v>
      </c>
      <c r="B1399" s="114">
        <v>4</v>
      </c>
      <c r="C1399" s="116">
        <v>0.004974648585070551</v>
      </c>
      <c r="D1399" s="114" t="s">
        <v>1711</v>
      </c>
      <c r="E1399" s="114" t="b">
        <v>0</v>
      </c>
      <c r="F1399" s="114" t="b">
        <v>1</v>
      </c>
      <c r="G1399" s="114" t="b">
        <v>0</v>
      </c>
    </row>
    <row r="1400" spans="1:7" ht="15">
      <c r="A1400" s="114" t="s">
        <v>1889</v>
      </c>
      <c r="B1400" s="114">
        <v>3</v>
      </c>
      <c r="C1400" s="116">
        <v>0.0037309864388029128</v>
      </c>
      <c r="D1400" s="114" t="s">
        <v>1711</v>
      </c>
      <c r="E1400" s="114" t="b">
        <v>0</v>
      </c>
      <c r="F1400" s="114" t="b">
        <v>0</v>
      </c>
      <c r="G1400" s="114" t="b">
        <v>0</v>
      </c>
    </row>
    <row r="1401" spans="1:7" ht="15">
      <c r="A1401" s="114" t="s">
        <v>2140</v>
      </c>
      <c r="B1401" s="114">
        <v>3</v>
      </c>
      <c r="C1401" s="116">
        <v>0.0047548979886804</v>
      </c>
      <c r="D1401" s="114" t="s">
        <v>1711</v>
      </c>
      <c r="E1401" s="114" t="b">
        <v>0</v>
      </c>
      <c r="F1401" s="114" t="b">
        <v>0</v>
      </c>
      <c r="G1401" s="114" t="b">
        <v>0</v>
      </c>
    </row>
    <row r="1402" spans="1:7" ht="15">
      <c r="A1402" s="114" t="s">
        <v>1918</v>
      </c>
      <c r="B1402" s="114">
        <v>3</v>
      </c>
      <c r="C1402" s="116">
        <v>0.0037309864388029128</v>
      </c>
      <c r="D1402" s="114" t="s">
        <v>1711</v>
      </c>
      <c r="E1402" s="114" t="b">
        <v>0</v>
      </c>
      <c r="F1402" s="114" t="b">
        <v>0</v>
      </c>
      <c r="G1402" s="114" t="b">
        <v>0</v>
      </c>
    </row>
    <row r="1403" spans="1:7" ht="15">
      <c r="A1403" s="114" t="s">
        <v>1808</v>
      </c>
      <c r="B1403" s="114">
        <v>3</v>
      </c>
      <c r="C1403" s="116">
        <v>0.0031320365780693033</v>
      </c>
      <c r="D1403" s="114" t="s">
        <v>1711</v>
      </c>
      <c r="E1403" s="114" t="b">
        <v>0</v>
      </c>
      <c r="F1403" s="114" t="b">
        <v>0</v>
      </c>
      <c r="G1403" s="114" t="b">
        <v>0</v>
      </c>
    </row>
    <row r="1404" spans="1:7" ht="15">
      <c r="A1404" s="114" t="s">
        <v>1864</v>
      </c>
      <c r="B1404" s="114">
        <v>3</v>
      </c>
      <c r="C1404" s="116">
        <v>0.0031320365780693033</v>
      </c>
      <c r="D1404" s="114" t="s">
        <v>1711</v>
      </c>
      <c r="E1404" s="114" t="b">
        <v>0</v>
      </c>
      <c r="F1404" s="114" t="b">
        <v>0</v>
      </c>
      <c r="G1404" s="114" t="b">
        <v>0</v>
      </c>
    </row>
    <row r="1405" spans="1:7" ht="15">
      <c r="A1405" s="114" t="s">
        <v>2195</v>
      </c>
      <c r="B1405" s="114">
        <v>3</v>
      </c>
      <c r="C1405" s="116">
        <v>0.0047548979886804</v>
      </c>
      <c r="D1405" s="114" t="s">
        <v>1711</v>
      </c>
      <c r="E1405" s="114" t="b">
        <v>0</v>
      </c>
      <c r="F1405" s="114" t="b">
        <v>0</v>
      </c>
      <c r="G1405" s="114" t="b">
        <v>0</v>
      </c>
    </row>
    <row r="1406" spans="1:7" ht="15">
      <c r="A1406" s="114" t="s">
        <v>2196</v>
      </c>
      <c r="B1406" s="114">
        <v>3</v>
      </c>
      <c r="C1406" s="116">
        <v>0.0047548979886804</v>
      </c>
      <c r="D1406" s="114" t="s">
        <v>1711</v>
      </c>
      <c r="E1406" s="114" t="b">
        <v>0</v>
      </c>
      <c r="F1406" s="114" t="b">
        <v>0</v>
      </c>
      <c r="G1406" s="114" t="b">
        <v>0</v>
      </c>
    </row>
    <row r="1407" spans="1:7" ht="15">
      <c r="A1407" s="114" t="s">
        <v>1774</v>
      </c>
      <c r="B1407" s="114">
        <v>3</v>
      </c>
      <c r="C1407" s="116">
        <v>0.0037309864388029128</v>
      </c>
      <c r="D1407" s="114" t="s">
        <v>1711</v>
      </c>
      <c r="E1407" s="114" t="b">
        <v>0</v>
      </c>
      <c r="F1407" s="114" t="b">
        <v>1</v>
      </c>
      <c r="G1407" s="114" t="b">
        <v>0</v>
      </c>
    </row>
    <row r="1408" spans="1:7" ht="15">
      <c r="A1408" s="114" t="s">
        <v>1843</v>
      </c>
      <c r="B1408" s="114">
        <v>3</v>
      </c>
      <c r="C1408" s="116">
        <v>0.0037309864388029128</v>
      </c>
      <c r="D1408" s="114" t="s">
        <v>1711</v>
      </c>
      <c r="E1408" s="114" t="b">
        <v>0</v>
      </c>
      <c r="F1408" s="114" t="b">
        <v>0</v>
      </c>
      <c r="G1408" s="114" t="b">
        <v>0</v>
      </c>
    </row>
    <row r="1409" spans="1:7" ht="15">
      <c r="A1409" s="114" t="s">
        <v>1800</v>
      </c>
      <c r="B1409" s="114">
        <v>3</v>
      </c>
      <c r="C1409" s="116">
        <v>0.0031320365780693033</v>
      </c>
      <c r="D1409" s="114" t="s">
        <v>1711</v>
      </c>
      <c r="E1409" s="114" t="b">
        <v>0</v>
      </c>
      <c r="F1409" s="114" t="b">
        <v>0</v>
      </c>
      <c r="G1409" s="114" t="b">
        <v>0</v>
      </c>
    </row>
    <row r="1410" spans="1:7" ht="15">
      <c r="A1410" s="114" t="s">
        <v>1858</v>
      </c>
      <c r="B1410" s="114">
        <v>3</v>
      </c>
      <c r="C1410" s="116">
        <v>0.0031320365780693033</v>
      </c>
      <c r="D1410" s="114" t="s">
        <v>1711</v>
      </c>
      <c r="E1410" s="114" t="b">
        <v>0</v>
      </c>
      <c r="F1410" s="114" t="b">
        <v>0</v>
      </c>
      <c r="G1410" s="114" t="b">
        <v>0</v>
      </c>
    </row>
    <row r="1411" spans="1:7" ht="15">
      <c r="A1411" s="114" t="s">
        <v>1888</v>
      </c>
      <c r="B1411" s="114">
        <v>3</v>
      </c>
      <c r="C1411" s="116">
        <v>0.0037309864388029128</v>
      </c>
      <c r="D1411" s="114" t="s">
        <v>1711</v>
      </c>
      <c r="E1411" s="114" t="b">
        <v>0</v>
      </c>
      <c r="F1411" s="114" t="b">
        <v>0</v>
      </c>
      <c r="G1411" s="114" t="b">
        <v>0</v>
      </c>
    </row>
    <row r="1412" spans="1:7" ht="15">
      <c r="A1412" s="114" t="s">
        <v>1771</v>
      </c>
      <c r="B1412" s="114">
        <v>3</v>
      </c>
      <c r="C1412" s="116">
        <v>0.0037309864388029128</v>
      </c>
      <c r="D1412" s="114" t="s">
        <v>1711</v>
      </c>
      <c r="E1412" s="114" t="b">
        <v>0</v>
      </c>
      <c r="F1412" s="114" t="b">
        <v>1</v>
      </c>
      <c r="G1412" s="114" t="b">
        <v>0</v>
      </c>
    </row>
    <row r="1413" spans="1:7" ht="15">
      <c r="A1413" s="114" t="s">
        <v>1919</v>
      </c>
      <c r="B1413" s="114">
        <v>3</v>
      </c>
      <c r="C1413" s="116">
        <v>0.0031320365780693033</v>
      </c>
      <c r="D1413" s="114" t="s">
        <v>1711</v>
      </c>
      <c r="E1413" s="114" t="b">
        <v>0</v>
      </c>
      <c r="F1413" s="114" t="b">
        <v>0</v>
      </c>
      <c r="G1413" s="114" t="b">
        <v>0</v>
      </c>
    </row>
    <row r="1414" spans="1:7" ht="15">
      <c r="A1414" s="114" t="s">
        <v>1850</v>
      </c>
      <c r="B1414" s="114">
        <v>3</v>
      </c>
      <c r="C1414" s="116">
        <v>0.0031320365780693033</v>
      </c>
      <c r="D1414" s="114" t="s">
        <v>1711</v>
      </c>
      <c r="E1414" s="114" t="b">
        <v>0</v>
      </c>
      <c r="F1414" s="114" t="b">
        <v>0</v>
      </c>
      <c r="G1414" s="114" t="b">
        <v>0</v>
      </c>
    </row>
    <row r="1415" spans="1:7" ht="15">
      <c r="A1415" s="114" t="s">
        <v>2007</v>
      </c>
      <c r="B1415" s="114">
        <v>3</v>
      </c>
      <c r="C1415" s="116">
        <v>0.0037309864388029128</v>
      </c>
      <c r="D1415" s="114" t="s">
        <v>1711</v>
      </c>
      <c r="E1415" s="114" t="b">
        <v>0</v>
      </c>
      <c r="F1415" s="114" t="b">
        <v>1</v>
      </c>
      <c r="G1415" s="114" t="b">
        <v>0</v>
      </c>
    </row>
    <row r="1416" spans="1:7" ht="15">
      <c r="A1416" s="114" t="s">
        <v>2192</v>
      </c>
      <c r="B1416" s="114">
        <v>3</v>
      </c>
      <c r="C1416" s="116">
        <v>0.0037309864388029128</v>
      </c>
      <c r="D1416" s="114" t="s">
        <v>1711</v>
      </c>
      <c r="E1416" s="114" t="b">
        <v>0</v>
      </c>
      <c r="F1416" s="114" t="b">
        <v>1</v>
      </c>
      <c r="G1416" s="114" t="b">
        <v>0</v>
      </c>
    </row>
    <row r="1417" spans="1:7" ht="15">
      <c r="A1417" s="114" t="s">
        <v>2078</v>
      </c>
      <c r="B1417" s="114">
        <v>3</v>
      </c>
      <c r="C1417" s="116">
        <v>0.0047548979886804</v>
      </c>
      <c r="D1417" s="114" t="s">
        <v>1711</v>
      </c>
      <c r="E1417" s="114" t="b">
        <v>0</v>
      </c>
      <c r="F1417" s="114" t="b">
        <v>0</v>
      </c>
      <c r="G1417" s="114" t="b">
        <v>0</v>
      </c>
    </row>
    <row r="1418" spans="1:7" ht="15">
      <c r="A1418" s="114" t="s">
        <v>2191</v>
      </c>
      <c r="B1418" s="114">
        <v>3</v>
      </c>
      <c r="C1418" s="116">
        <v>0.0047548979886804</v>
      </c>
      <c r="D1418" s="114" t="s">
        <v>1711</v>
      </c>
      <c r="E1418" s="114" t="b">
        <v>0</v>
      </c>
      <c r="F1418" s="114" t="b">
        <v>0</v>
      </c>
      <c r="G1418" s="114" t="b">
        <v>0</v>
      </c>
    </row>
    <row r="1419" spans="1:7" ht="15">
      <c r="A1419" s="114" t="s">
        <v>2002</v>
      </c>
      <c r="B1419" s="114">
        <v>3</v>
      </c>
      <c r="C1419" s="116">
        <v>0.0047548979886804</v>
      </c>
      <c r="D1419" s="114" t="s">
        <v>1711</v>
      </c>
      <c r="E1419" s="114" t="b">
        <v>0</v>
      </c>
      <c r="F1419" s="114" t="b">
        <v>0</v>
      </c>
      <c r="G1419" s="114" t="b">
        <v>0</v>
      </c>
    </row>
    <row r="1420" spans="1:7" ht="15">
      <c r="A1420" s="114" t="s">
        <v>2074</v>
      </c>
      <c r="B1420" s="114">
        <v>3</v>
      </c>
      <c r="C1420" s="116">
        <v>0.0047548979886804</v>
      </c>
      <c r="D1420" s="114" t="s">
        <v>1711</v>
      </c>
      <c r="E1420" s="114" t="b">
        <v>0</v>
      </c>
      <c r="F1420" s="114" t="b">
        <v>0</v>
      </c>
      <c r="G1420" s="114" t="b">
        <v>0</v>
      </c>
    </row>
    <row r="1421" spans="1:7" ht="15">
      <c r="A1421" s="114" t="s">
        <v>1824</v>
      </c>
      <c r="B1421" s="114">
        <v>3</v>
      </c>
      <c r="C1421" s="116">
        <v>0.0037309864388029128</v>
      </c>
      <c r="D1421" s="114" t="s">
        <v>1711</v>
      </c>
      <c r="E1421" s="114" t="b">
        <v>0</v>
      </c>
      <c r="F1421" s="114" t="b">
        <v>0</v>
      </c>
      <c r="G1421" s="114" t="b">
        <v>0</v>
      </c>
    </row>
    <row r="1422" spans="1:7" ht="15">
      <c r="A1422" s="114" t="s">
        <v>2187</v>
      </c>
      <c r="B1422" s="114">
        <v>3</v>
      </c>
      <c r="C1422" s="116">
        <v>0.0047548979886804</v>
      </c>
      <c r="D1422" s="114" t="s">
        <v>1711</v>
      </c>
      <c r="E1422" s="114" t="b">
        <v>0</v>
      </c>
      <c r="F1422" s="114" t="b">
        <v>0</v>
      </c>
      <c r="G1422" s="114" t="b">
        <v>0</v>
      </c>
    </row>
    <row r="1423" spans="1:7" ht="15">
      <c r="A1423" s="114" t="s">
        <v>1880</v>
      </c>
      <c r="B1423" s="114">
        <v>3</v>
      </c>
      <c r="C1423" s="116">
        <v>0.0047548979886804</v>
      </c>
      <c r="D1423" s="114" t="s">
        <v>1711</v>
      </c>
      <c r="E1423" s="114" t="b">
        <v>0</v>
      </c>
      <c r="F1423" s="114" t="b">
        <v>0</v>
      </c>
      <c r="G1423" s="114" t="b">
        <v>0</v>
      </c>
    </row>
    <row r="1424" spans="1:7" ht="15">
      <c r="A1424" s="114" t="s">
        <v>1934</v>
      </c>
      <c r="B1424" s="114">
        <v>3</v>
      </c>
      <c r="C1424" s="116">
        <v>0.0037309864388029128</v>
      </c>
      <c r="D1424" s="114" t="s">
        <v>1711</v>
      </c>
      <c r="E1424" s="114" t="b">
        <v>0</v>
      </c>
      <c r="F1424" s="114" t="b">
        <v>0</v>
      </c>
      <c r="G1424" s="114" t="b">
        <v>0</v>
      </c>
    </row>
    <row r="1425" spans="1:7" ht="15">
      <c r="A1425" s="114" t="s">
        <v>1783</v>
      </c>
      <c r="B1425" s="114">
        <v>3</v>
      </c>
      <c r="C1425" s="116">
        <v>0.0047548979886804</v>
      </c>
      <c r="D1425" s="114" t="s">
        <v>1711</v>
      </c>
      <c r="E1425" s="114" t="b">
        <v>0</v>
      </c>
      <c r="F1425" s="114" t="b">
        <v>0</v>
      </c>
      <c r="G1425" s="114" t="b">
        <v>0</v>
      </c>
    </row>
    <row r="1426" spans="1:7" ht="15">
      <c r="A1426" s="114" t="s">
        <v>1818</v>
      </c>
      <c r="B1426" s="114">
        <v>2</v>
      </c>
      <c r="C1426" s="116">
        <v>0.0024873242925352755</v>
      </c>
      <c r="D1426" s="114" t="s">
        <v>1711</v>
      </c>
      <c r="E1426" s="114" t="b">
        <v>0</v>
      </c>
      <c r="F1426" s="114" t="b">
        <v>0</v>
      </c>
      <c r="G1426" s="114" t="b">
        <v>0</v>
      </c>
    </row>
    <row r="1427" spans="1:7" ht="15">
      <c r="A1427" s="114" t="s">
        <v>1835</v>
      </c>
      <c r="B1427" s="114">
        <v>2</v>
      </c>
      <c r="C1427" s="116">
        <v>0.0031699319924536</v>
      </c>
      <c r="D1427" s="114" t="s">
        <v>1711</v>
      </c>
      <c r="E1427" s="114" t="b">
        <v>0</v>
      </c>
      <c r="F1427" s="114" t="b">
        <v>0</v>
      </c>
      <c r="G1427" s="114" t="b">
        <v>0</v>
      </c>
    </row>
    <row r="1428" spans="1:7" ht="15">
      <c r="A1428" s="114" t="s">
        <v>1958</v>
      </c>
      <c r="B1428" s="114">
        <v>2</v>
      </c>
      <c r="C1428" s="116">
        <v>0.0024873242925352755</v>
      </c>
      <c r="D1428" s="114" t="s">
        <v>1711</v>
      </c>
      <c r="E1428" s="114" t="b">
        <v>0</v>
      </c>
      <c r="F1428" s="114" t="b">
        <v>0</v>
      </c>
      <c r="G1428" s="114" t="b">
        <v>0</v>
      </c>
    </row>
    <row r="1429" spans="1:7" ht="15">
      <c r="A1429" s="114" t="s">
        <v>1923</v>
      </c>
      <c r="B1429" s="114">
        <v>2</v>
      </c>
      <c r="C1429" s="116">
        <v>0.0024873242925352755</v>
      </c>
      <c r="D1429" s="114" t="s">
        <v>1711</v>
      </c>
      <c r="E1429" s="114" t="b">
        <v>0</v>
      </c>
      <c r="F1429" s="114" t="b">
        <v>0</v>
      </c>
      <c r="G1429" s="114" t="b">
        <v>0</v>
      </c>
    </row>
    <row r="1430" spans="1:7" ht="15">
      <c r="A1430" s="114" t="s">
        <v>1830</v>
      </c>
      <c r="B1430" s="114">
        <v>2</v>
      </c>
      <c r="C1430" s="116">
        <v>0.0024873242925352755</v>
      </c>
      <c r="D1430" s="114" t="s">
        <v>1711</v>
      </c>
      <c r="E1430" s="114" t="b">
        <v>0</v>
      </c>
      <c r="F1430" s="114" t="b">
        <v>0</v>
      </c>
      <c r="G1430" s="114" t="b">
        <v>0</v>
      </c>
    </row>
    <row r="1431" spans="1:7" ht="15">
      <c r="A1431" s="114" t="s">
        <v>2348</v>
      </c>
      <c r="B1431" s="114">
        <v>2</v>
      </c>
      <c r="C1431" s="116">
        <v>0.0031699319924536</v>
      </c>
      <c r="D1431" s="114" t="s">
        <v>1711</v>
      </c>
      <c r="E1431" s="114" t="b">
        <v>0</v>
      </c>
      <c r="F1431" s="114" t="b">
        <v>0</v>
      </c>
      <c r="G1431" s="114" t="b">
        <v>0</v>
      </c>
    </row>
    <row r="1432" spans="1:7" ht="15">
      <c r="A1432" s="114" t="s">
        <v>2186</v>
      </c>
      <c r="B1432" s="114">
        <v>2</v>
      </c>
      <c r="C1432" s="116">
        <v>0.0024873242925352755</v>
      </c>
      <c r="D1432" s="114" t="s">
        <v>1711</v>
      </c>
      <c r="E1432" s="114" t="b">
        <v>0</v>
      </c>
      <c r="F1432" s="114" t="b">
        <v>0</v>
      </c>
      <c r="G1432" s="114" t="b">
        <v>0</v>
      </c>
    </row>
    <row r="1433" spans="1:7" ht="15">
      <c r="A1433" s="114" t="s">
        <v>1916</v>
      </c>
      <c r="B1433" s="114">
        <v>2</v>
      </c>
      <c r="C1433" s="116">
        <v>0.0024873242925352755</v>
      </c>
      <c r="D1433" s="114" t="s">
        <v>1711</v>
      </c>
      <c r="E1433" s="114" t="b">
        <v>0</v>
      </c>
      <c r="F1433" s="114" t="b">
        <v>0</v>
      </c>
      <c r="G1433" s="114" t="b">
        <v>0</v>
      </c>
    </row>
    <row r="1434" spans="1:7" ht="15">
      <c r="A1434" s="114" t="s">
        <v>2369</v>
      </c>
      <c r="B1434" s="114">
        <v>2</v>
      </c>
      <c r="C1434" s="116">
        <v>0.0031699319924536</v>
      </c>
      <c r="D1434" s="114" t="s">
        <v>1711</v>
      </c>
      <c r="E1434" s="114" t="b">
        <v>0</v>
      </c>
      <c r="F1434" s="114" t="b">
        <v>0</v>
      </c>
      <c r="G1434" s="114" t="b">
        <v>0</v>
      </c>
    </row>
    <row r="1435" spans="1:7" ht="15">
      <c r="A1435" s="114" t="s">
        <v>2033</v>
      </c>
      <c r="B1435" s="114">
        <v>2</v>
      </c>
      <c r="C1435" s="116">
        <v>0.0024873242925352755</v>
      </c>
      <c r="D1435" s="114" t="s">
        <v>1711</v>
      </c>
      <c r="E1435" s="114" t="b">
        <v>0</v>
      </c>
      <c r="F1435" s="114" t="b">
        <v>0</v>
      </c>
      <c r="G1435" s="114" t="b">
        <v>0</v>
      </c>
    </row>
    <row r="1436" spans="1:7" ht="15">
      <c r="A1436" s="114" t="s">
        <v>1968</v>
      </c>
      <c r="B1436" s="114">
        <v>2</v>
      </c>
      <c r="C1436" s="116">
        <v>0.0024873242925352755</v>
      </c>
      <c r="D1436" s="114" t="s">
        <v>1711</v>
      </c>
      <c r="E1436" s="114" t="b">
        <v>0</v>
      </c>
      <c r="F1436" s="114" t="b">
        <v>0</v>
      </c>
      <c r="G1436" s="114" t="b">
        <v>0</v>
      </c>
    </row>
    <row r="1437" spans="1:7" ht="15">
      <c r="A1437" s="114" t="s">
        <v>2011</v>
      </c>
      <c r="B1437" s="114">
        <v>2</v>
      </c>
      <c r="C1437" s="116">
        <v>0.0031699319924536</v>
      </c>
      <c r="D1437" s="114" t="s">
        <v>1711</v>
      </c>
      <c r="E1437" s="114" t="b">
        <v>0</v>
      </c>
      <c r="F1437" s="114" t="b">
        <v>0</v>
      </c>
      <c r="G1437" s="114" t="b">
        <v>0</v>
      </c>
    </row>
    <row r="1438" spans="1:7" ht="15">
      <c r="A1438" s="114" t="s">
        <v>1962</v>
      </c>
      <c r="B1438" s="114">
        <v>2</v>
      </c>
      <c r="C1438" s="116">
        <v>0.0024873242925352755</v>
      </c>
      <c r="D1438" s="114" t="s">
        <v>1711</v>
      </c>
      <c r="E1438" s="114" t="b">
        <v>0</v>
      </c>
      <c r="F1438" s="114" t="b">
        <v>0</v>
      </c>
      <c r="G1438" s="114" t="b">
        <v>0</v>
      </c>
    </row>
    <row r="1439" spans="1:7" ht="15">
      <c r="A1439" s="114" t="s">
        <v>2350</v>
      </c>
      <c r="B1439" s="114">
        <v>2</v>
      </c>
      <c r="C1439" s="116">
        <v>0.0024873242925352755</v>
      </c>
      <c r="D1439" s="114" t="s">
        <v>1711</v>
      </c>
      <c r="E1439" s="114" t="b">
        <v>0</v>
      </c>
      <c r="F1439" s="114" t="b">
        <v>0</v>
      </c>
      <c r="G1439" s="114" t="b">
        <v>0</v>
      </c>
    </row>
    <row r="1440" spans="1:7" ht="15">
      <c r="A1440" s="114" t="s">
        <v>2351</v>
      </c>
      <c r="B1440" s="114">
        <v>2</v>
      </c>
      <c r="C1440" s="116">
        <v>0.0024873242925352755</v>
      </c>
      <c r="D1440" s="114" t="s">
        <v>1711</v>
      </c>
      <c r="E1440" s="114" t="b">
        <v>0</v>
      </c>
      <c r="F1440" s="114" t="b">
        <v>0</v>
      </c>
      <c r="G1440" s="114" t="b">
        <v>0</v>
      </c>
    </row>
    <row r="1441" spans="1:7" ht="15">
      <c r="A1441" s="114" t="s">
        <v>2352</v>
      </c>
      <c r="B1441" s="114">
        <v>2</v>
      </c>
      <c r="C1441" s="116">
        <v>0.0024873242925352755</v>
      </c>
      <c r="D1441" s="114" t="s">
        <v>1711</v>
      </c>
      <c r="E1441" s="114" t="b">
        <v>0</v>
      </c>
      <c r="F1441" s="114" t="b">
        <v>0</v>
      </c>
      <c r="G1441" s="114" t="b">
        <v>0</v>
      </c>
    </row>
    <row r="1442" spans="1:7" ht="15">
      <c r="A1442" s="114" t="s">
        <v>2064</v>
      </c>
      <c r="B1442" s="114">
        <v>2</v>
      </c>
      <c r="C1442" s="116">
        <v>0.0024873242925352755</v>
      </c>
      <c r="D1442" s="114" t="s">
        <v>1711</v>
      </c>
      <c r="E1442" s="114" t="b">
        <v>0</v>
      </c>
      <c r="F1442" s="114" t="b">
        <v>0</v>
      </c>
      <c r="G1442" s="114" t="b">
        <v>0</v>
      </c>
    </row>
    <row r="1443" spans="1:7" ht="15">
      <c r="A1443" s="114" t="s">
        <v>2188</v>
      </c>
      <c r="B1443" s="114">
        <v>2</v>
      </c>
      <c r="C1443" s="116">
        <v>0.0024873242925352755</v>
      </c>
      <c r="D1443" s="114" t="s">
        <v>1711</v>
      </c>
      <c r="E1443" s="114" t="b">
        <v>0</v>
      </c>
      <c r="F1443" s="114" t="b">
        <v>0</v>
      </c>
      <c r="G1443" s="114" t="b">
        <v>0</v>
      </c>
    </row>
    <row r="1444" spans="1:7" ht="15">
      <c r="A1444" s="114" t="s">
        <v>1939</v>
      </c>
      <c r="B1444" s="114">
        <v>2</v>
      </c>
      <c r="C1444" s="116">
        <v>0.0024873242925352755</v>
      </c>
      <c r="D1444" s="114" t="s">
        <v>1711</v>
      </c>
      <c r="E1444" s="114" t="b">
        <v>1</v>
      </c>
      <c r="F1444" s="114" t="b">
        <v>0</v>
      </c>
      <c r="G1444" s="114" t="b">
        <v>0</v>
      </c>
    </row>
    <row r="1445" spans="1:7" ht="15">
      <c r="A1445" s="114" t="s">
        <v>2194</v>
      </c>
      <c r="B1445" s="114">
        <v>2</v>
      </c>
      <c r="C1445" s="116">
        <v>0.0024873242925352755</v>
      </c>
      <c r="D1445" s="114" t="s">
        <v>1711</v>
      </c>
      <c r="E1445" s="114" t="b">
        <v>0</v>
      </c>
      <c r="F1445" s="114" t="b">
        <v>0</v>
      </c>
      <c r="G1445" s="114" t="b">
        <v>0</v>
      </c>
    </row>
    <row r="1446" spans="1:7" ht="15">
      <c r="A1446" s="114" t="s">
        <v>1922</v>
      </c>
      <c r="B1446" s="114">
        <v>2</v>
      </c>
      <c r="C1446" s="116">
        <v>0.0024873242925352755</v>
      </c>
      <c r="D1446" s="114" t="s">
        <v>1711</v>
      </c>
      <c r="E1446" s="114" t="b">
        <v>0</v>
      </c>
      <c r="F1446" s="114" t="b">
        <v>0</v>
      </c>
      <c r="G1446" s="114" t="b">
        <v>0</v>
      </c>
    </row>
    <row r="1447" spans="1:7" ht="15">
      <c r="A1447" s="114" t="s">
        <v>1900</v>
      </c>
      <c r="B1447" s="114">
        <v>2</v>
      </c>
      <c r="C1447" s="116">
        <v>0.0024873242925352755</v>
      </c>
      <c r="D1447" s="114" t="s">
        <v>1711</v>
      </c>
      <c r="E1447" s="114" t="b">
        <v>0</v>
      </c>
      <c r="F1447" s="114" t="b">
        <v>0</v>
      </c>
      <c r="G1447" s="114" t="b">
        <v>0</v>
      </c>
    </row>
    <row r="1448" spans="1:7" ht="15">
      <c r="A1448" s="114" t="s">
        <v>1887</v>
      </c>
      <c r="B1448" s="114">
        <v>2</v>
      </c>
      <c r="C1448" s="116">
        <v>0.0024873242925352755</v>
      </c>
      <c r="D1448" s="114" t="s">
        <v>1711</v>
      </c>
      <c r="E1448" s="114" t="b">
        <v>0</v>
      </c>
      <c r="F1448" s="114" t="b">
        <v>0</v>
      </c>
      <c r="G1448" s="114" t="b">
        <v>0</v>
      </c>
    </row>
    <row r="1449" spans="1:7" ht="15">
      <c r="A1449" s="114" t="s">
        <v>1897</v>
      </c>
      <c r="B1449" s="114">
        <v>2</v>
      </c>
      <c r="C1449" s="116">
        <v>0.0024873242925352755</v>
      </c>
      <c r="D1449" s="114" t="s">
        <v>1711</v>
      </c>
      <c r="E1449" s="114" t="b">
        <v>0</v>
      </c>
      <c r="F1449" s="114" t="b">
        <v>0</v>
      </c>
      <c r="G1449" s="114" t="b">
        <v>0</v>
      </c>
    </row>
    <row r="1450" spans="1:7" ht="15">
      <c r="A1450" s="114" t="s">
        <v>1871</v>
      </c>
      <c r="B1450" s="114">
        <v>2</v>
      </c>
      <c r="C1450" s="116">
        <v>0.0024873242925352755</v>
      </c>
      <c r="D1450" s="114" t="s">
        <v>1711</v>
      </c>
      <c r="E1450" s="114" t="b">
        <v>0</v>
      </c>
      <c r="F1450" s="114" t="b">
        <v>0</v>
      </c>
      <c r="G1450" s="114" t="b">
        <v>0</v>
      </c>
    </row>
    <row r="1451" spans="1:7" ht="15">
      <c r="A1451" s="114" t="s">
        <v>2136</v>
      </c>
      <c r="B1451" s="114">
        <v>2</v>
      </c>
      <c r="C1451" s="116">
        <v>0.0031699319924536</v>
      </c>
      <c r="D1451" s="114" t="s">
        <v>1711</v>
      </c>
      <c r="E1451" s="114" t="b">
        <v>0</v>
      </c>
      <c r="F1451" s="114" t="b">
        <v>1</v>
      </c>
      <c r="G1451" s="114" t="b">
        <v>0</v>
      </c>
    </row>
    <row r="1452" spans="1:7" ht="15">
      <c r="A1452" s="114" t="s">
        <v>1873</v>
      </c>
      <c r="B1452" s="114">
        <v>2</v>
      </c>
      <c r="C1452" s="116">
        <v>0.0031699319924536</v>
      </c>
      <c r="D1452" s="114" t="s">
        <v>1711</v>
      </c>
      <c r="E1452" s="114" t="b">
        <v>0</v>
      </c>
      <c r="F1452" s="114" t="b">
        <v>0</v>
      </c>
      <c r="G1452" s="114" t="b">
        <v>0</v>
      </c>
    </row>
    <row r="1453" spans="1:7" ht="15">
      <c r="A1453" s="114" t="s">
        <v>2040</v>
      </c>
      <c r="B1453" s="114">
        <v>2</v>
      </c>
      <c r="C1453" s="116">
        <v>0.0031699319924536</v>
      </c>
      <c r="D1453" s="114" t="s">
        <v>1711</v>
      </c>
      <c r="E1453" s="114" t="b">
        <v>0</v>
      </c>
      <c r="F1453" s="114" t="b">
        <v>0</v>
      </c>
      <c r="G1453" s="114" t="b">
        <v>0</v>
      </c>
    </row>
    <row r="1454" spans="1:7" ht="15">
      <c r="A1454" s="114" t="s">
        <v>2009</v>
      </c>
      <c r="B1454" s="114">
        <v>2</v>
      </c>
      <c r="C1454" s="116">
        <v>0.0031699319924536</v>
      </c>
      <c r="D1454" s="114" t="s">
        <v>1711</v>
      </c>
      <c r="E1454" s="114" t="b">
        <v>0</v>
      </c>
      <c r="F1454" s="114" t="b">
        <v>1</v>
      </c>
      <c r="G1454" s="114" t="b">
        <v>0</v>
      </c>
    </row>
    <row r="1455" spans="1:7" ht="15">
      <c r="A1455" s="114" t="s">
        <v>1960</v>
      </c>
      <c r="B1455" s="114">
        <v>2</v>
      </c>
      <c r="C1455" s="116">
        <v>0.0031699319924536</v>
      </c>
      <c r="D1455" s="114" t="s">
        <v>1711</v>
      </c>
      <c r="E1455" s="114" t="b">
        <v>0</v>
      </c>
      <c r="F1455" s="114" t="b">
        <v>1</v>
      </c>
      <c r="G1455" s="114" t="b">
        <v>0</v>
      </c>
    </row>
    <row r="1456" spans="1:7" ht="15">
      <c r="A1456" s="114" t="s">
        <v>1782</v>
      </c>
      <c r="B1456" s="114">
        <v>2</v>
      </c>
      <c r="C1456" s="116">
        <v>0.0031699319924536</v>
      </c>
      <c r="D1456" s="114" t="s">
        <v>1711</v>
      </c>
      <c r="E1456" s="114" t="b">
        <v>0</v>
      </c>
      <c r="F1456" s="114" t="b">
        <v>0</v>
      </c>
      <c r="G1456" s="114" t="b">
        <v>0</v>
      </c>
    </row>
    <row r="1457" spans="1:7" ht="15">
      <c r="A1457" s="114" t="s">
        <v>1867</v>
      </c>
      <c r="B1457" s="114">
        <v>2</v>
      </c>
      <c r="C1457" s="116">
        <v>0.0024873242925352755</v>
      </c>
      <c r="D1457" s="114" t="s">
        <v>1711</v>
      </c>
      <c r="E1457" s="114" t="b">
        <v>0</v>
      </c>
      <c r="F1457" s="114" t="b">
        <v>0</v>
      </c>
      <c r="G1457" s="114" t="b">
        <v>0</v>
      </c>
    </row>
    <row r="1458" spans="1:7" ht="15">
      <c r="A1458" s="114" t="s">
        <v>1770</v>
      </c>
      <c r="B1458" s="114">
        <v>2</v>
      </c>
      <c r="C1458" s="116">
        <v>0.0031699319924536</v>
      </c>
      <c r="D1458" s="114" t="s">
        <v>1711</v>
      </c>
      <c r="E1458" s="114" t="b">
        <v>0</v>
      </c>
      <c r="F1458" s="114" t="b">
        <v>0</v>
      </c>
      <c r="G1458" s="114" t="b">
        <v>0</v>
      </c>
    </row>
    <row r="1459" spans="1:7" ht="15">
      <c r="A1459" s="114" t="s">
        <v>2279</v>
      </c>
      <c r="B1459" s="114">
        <v>2</v>
      </c>
      <c r="C1459" s="116">
        <v>0.0024873242925352755</v>
      </c>
      <c r="D1459" s="114" t="s">
        <v>1711</v>
      </c>
      <c r="E1459" s="114" t="b">
        <v>0</v>
      </c>
      <c r="F1459" s="114" t="b">
        <v>0</v>
      </c>
      <c r="G1459" s="114" t="b">
        <v>0</v>
      </c>
    </row>
    <row r="1460" spans="1:7" ht="15">
      <c r="A1460" s="114" t="s">
        <v>1848</v>
      </c>
      <c r="B1460" s="114">
        <v>2</v>
      </c>
      <c r="C1460" s="116">
        <v>0.0031699319924536</v>
      </c>
      <c r="D1460" s="114" t="s">
        <v>1711</v>
      </c>
      <c r="E1460" s="114" t="b">
        <v>0</v>
      </c>
      <c r="F1460" s="114" t="b">
        <v>1</v>
      </c>
      <c r="G1460" s="114" t="b">
        <v>0</v>
      </c>
    </row>
    <row r="1461" spans="1:7" ht="15">
      <c r="A1461" s="114" t="s">
        <v>2281</v>
      </c>
      <c r="B1461" s="114">
        <v>2</v>
      </c>
      <c r="C1461" s="116">
        <v>0.0031699319924536</v>
      </c>
      <c r="D1461" s="114" t="s">
        <v>1711</v>
      </c>
      <c r="E1461" s="114" t="b">
        <v>0</v>
      </c>
      <c r="F1461" s="114" t="b">
        <v>0</v>
      </c>
      <c r="G1461" s="114" t="b">
        <v>0</v>
      </c>
    </row>
    <row r="1462" spans="1:7" ht="15">
      <c r="A1462" s="114" t="s">
        <v>1912</v>
      </c>
      <c r="B1462" s="114">
        <v>2</v>
      </c>
      <c r="C1462" s="116">
        <v>0.0031699319924536</v>
      </c>
      <c r="D1462" s="114" t="s">
        <v>1711</v>
      </c>
      <c r="E1462" s="114" t="b">
        <v>0</v>
      </c>
      <c r="F1462" s="114" t="b">
        <v>0</v>
      </c>
      <c r="G1462" s="114" t="b">
        <v>0</v>
      </c>
    </row>
    <row r="1463" spans="1:7" ht="15">
      <c r="A1463" s="114" t="s">
        <v>2127</v>
      </c>
      <c r="B1463" s="114">
        <v>2</v>
      </c>
      <c r="C1463" s="116">
        <v>0.0031699319924536</v>
      </c>
      <c r="D1463" s="114" t="s">
        <v>1711</v>
      </c>
      <c r="E1463" s="114" t="b">
        <v>0</v>
      </c>
      <c r="F1463" s="114" t="b">
        <v>0</v>
      </c>
      <c r="G1463" s="114" t="b">
        <v>0</v>
      </c>
    </row>
    <row r="1464" spans="1:7" ht="15">
      <c r="A1464" s="114" t="s">
        <v>1754</v>
      </c>
      <c r="B1464" s="114">
        <v>40</v>
      </c>
      <c r="C1464" s="116">
        <v>0.006720938913070226</v>
      </c>
      <c r="D1464" s="114" t="s">
        <v>1712</v>
      </c>
      <c r="E1464" s="114" t="b">
        <v>0</v>
      </c>
      <c r="F1464" s="114" t="b">
        <v>0</v>
      </c>
      <c r="G1464" s="114" t="b">
        <v>0</v>
      </c>
    </row>
    <row r="1465" spans="1:7" ht="15">
      <c r="A1465" s="114" t="s">
        <v>1752</v>
      </c>
      <c r="B1465" s="114">
        <v>31</v>
      </c>
      <c r="C1465" s="116">
        <v>0.006728956666959607</v>
      </c>
      <c r="D1465" s="114" t="s">
        <v>1712</v>
      </c>
      <c r="E1465" s="114" t="b">
        <v>0</v>
      </c>
      <c r="F1465" s="114" t="b">
        <v>0</v>
      </c>
      <c r="G1465" s="114" t="b">
        <v>0</v>
      </c>
    </row>
    <row r="1466" spans="1:7" ht="15">
      <c r="A1466" s="114" t="s">
        <v>1768</v>
      </c>
      <c r="B1466" s="114">
        <v>26</v>
      </c>
      <c r="C1466" s="116">
        <v>0.00701320207004222</v>
      </c>
      <c r="D1466" s="114" t="s">
        <v>1712</v>
      </c>
      <c r="E1466" s="114" t="b">
        <v>0</v>
      </c>
      <c r="F1466" s="114" t="b">
        <v>0</v>
      </c>
      <c r="G1466" s="114" t="b">
        <v>0</v>
      </c>
    </row>
    <row r="1467" spans="1:7" ht="15">
      <c r="A1467" s="114" t="s">
        <v>1769</v>
      </c>
      <c r="B1467" s="114">
        <v>26</v>
      </c>
      <c r="C1467" s="116">
        <v>0.00701320207004222</v>
      </c>
      <c r="D1467" s="114" t="s">
        <v>1712</v>
      </c>
      <c r="E1467" s="114" t="b">
        <v>0</v>
      </c>
      <c r="F1467" s="114" t="b">
        <v>0</v>
      </c>
      <c r="G1467" s="114" t="b">
        <v>0</v>
      </c>
    </row>
    <row r="1468" spans="1:7" ht="15">
      <c r="A1468" s="114" t="s">
        <v>1772</v>
      </c>
      <c r="B1468" s="114">
        <v>24</v>
      </c>
      <c r="C1468" s="116">
        <v>0.00647372498773128</v>
      </c>
      <c r="D1468" s="114" t="s">
        <v>1712</v>
      </c>
      <c r="E1468" s="114" t="b">
        <v>0</v>
      </c>
      <c r="F1468" s="114" t="b">
        <v>0</v>
      </c>
      <c r="G1468" s="114" t="b">
        <v>0</v>
      </c>
    </row>
    <row r="1469" spans="1:7" ht="15">
      <c r="A1469" s="114" t="s">
        <v>1763</v>
      </c>
      <c r="B1469" s="114">
        <v>23</v>
      </c>
      <c r="C1469" s="116">
        <v>0.008935026290140572</v>
      </c>
      <c r="D1469" s="114" t="s">
        <v>1712</v>
      </c>
      <c r="E1469" s="114" t="b">
        <v>0</v>
      </c>
      <c r="F1469" s="114" t="b">
        <v>0</v>
      </c>
      <c r="G1469" s="114" t="b">
        <v>0</v>
      </c>
    </row>
    <row r="1470" spans="1:7" ht="15">
      <c r="A1470" s="114" t="s">
        <v>1786</v>
      </c>
      <c r="B1470" s="114">
        <v>21</v>
      </c>
      <c r="C1470" s="116">
        <v>0.008158067482302262</v>
      </c>
      <c r="D1470" s="114" t="s">
        <v>1712</v>
      </c>
      <c r="E1470" s="114" t="b">
        <v>0</v>
      </c>
      <c r="F1470" s="114" t="b">
        <v>0</v>
      </c>
      <c r="G1470" s="114" t="b">
        <v>0</v>
      </c>
    </row>
    <row r="1471" spans="1:7" ht="15">
      <c r="A1471" s="114" t="s">
        <v>1813</v>
      </c>
      <c r="B1471" s="114">
        <v>14</v>
      </c>
      <c r="C1471" s="116">
        <v>0.0030388836560462738</v>
      </c>
      <c r="D1471" s="114" t="s">
        <v>1712</v>
      </c>
      <c r="E1471" s="114" t="b">
        <v>0</v>
      </c>
      <c r="F1471" s="114" t="b">
        <v>0</v>
      </c>
      <c r="G1471" s="114" t="b">
        <v>0</v>
      </c>
    </row>
    <row r="1472" spans="1:7" ht="15">
      <c r="A1472" s="114" t="s">
        <v>1833</v>
      </c>
      <c r="B1472" s="114">
        <v>13</v>
      </c>
      <c r="C1472" s="116">
        <v>0.00350660103502111</v>
      </c>
      <c r="D1472" s="114" t="s">
        <v>1712</v>
      </c>
      <c r="E1472" s="114" t="b">
        <v>0</v>
      </c>
      <c r="F1472" s="114" t="b">
        <v>0</v>
      </c>
      <c r="G1472" s="114" t="b">
        <v>0</v>
      </c>
    </row>
    <row r="1473" spans="1:7" ht="15">
      <c r="A1473" s="114" t="s">
        <v>1832</v>
      </c>
      <c r="B1473" s="114">
        <v>12</v>
      </c>
      <c r="C1473" s="116">
        <v>0.003919587985044925</v>
      </c>
      <c r="D1473" s="114" t="s">
        <v>1712</v>
      </c>
      <c r="E1473" s="114" t="b">
        <v>0</v>
      </c>
      <c r="F1473" s="114" t="b">
        <v>0</v>
      </c>
      <c r="G1473" s="114" t="b">
        <v>0</v>
      </c>
    </row>
    <row r="1474" spans="1:7" ht="15">
      <c r="A1474" s="114" t="s">
        <v>1861</v>
      </c>
      <c r="B1474" s="114">
        <v>11</v>
      </c>
      <c r="C1474" s="116">
        <v>0.004273273443110709</v>
      </c>
      <c r="D1474" s="114" t="s">
        <v>1712</v>
      </c>
      <c r="E1474" s="114" t="b">
        <v>0</v>
      </c>
      <c r="F1474" s="114" t="b">
        <v>0</v>
      </c>
      <c r="G1474" s="114" t="b">
        <v>0</v>
      </c>
    </row>
    <row r="1475" spans="1:7" ht="15">
      <c r="A1475" s="114" t="s">
        <v>1863</v>
      </c>
      <c r="B1475" s="114">
        <v>11</v>
      </c>
      <c r="C1475" s="116">
        <v>0.023021750589985464</v>
      </c>
      <c r="D1475" s="114" t="s">
        <v>1712</v>
      </c>
      <c r="E1475" s="114" t="b">
        <v>0</v>
      </c>
      <c r="F1475" s="114" t="b">
        <v>0</v>
      </c>
      <c r="G1475" s="114" t="b">
        <v>0</v>
      </c>
    </row>
    <row r="1476" spans="1:7" ht="15">
      <c r="A1476" s="114" t="s">
        <v>1862</v>
      </c>
      <c r="B1476" s="114">
        <v>11</v>
      </c>
      <c r="C1476" s="116">
        <v>0.0058422618766751965</v>
      </c>
      <c r="D1476" s="114" t="s">
        <v>1712</v>
      </c>
      <c r="E1476" s="114" t="b">
        <v>0</v>
      </c>
      <c r="F1476" s="114" t="b">
        <v>0</v>
      </c>
      <c r="G1476" s="114" t="b">
        <v>0</v>
      </c>
    </row>
    <row r="1477" spans="1:7" ht="15">
      <c r="A1477" s="114" t="s">
        <v>1885</v>
      </c>
      <c r="B1477" s="114">
        <v>10</v>
      </c>
      <c r="C1477" s="116">
        <v>0.004562252061421096</v>
      </c>
      <c r="D1477" s="114" t="s">
        <v>1712</v>
      </c>
      <c r="E1477" s="114" t="b">
        <v>0</v>
      </c>
      <c r="F1477" s="114" t="b">
        <v>0</v>
      </c>
      <c r="G1477" s="114" t="b">
        <v>0</v>
      </c>
    </row>
    <row r="1478" spans="1:7" ht="15">
      <c r="A1478" s="114" t="s">
        <v>1905</v>
      </c>
      <c r="B1478" s="114">
        <v>9</v>
      </c>
      <c r="C1478" s="116">
        <v>0.004780032444552434</v>
      </c>
      <c r="D1478" s="114" t="s">
        <v>1712</v>
      </c>
      <c r="E1478" s="114" t="b">
        <v>0</v>
      </c>
      <c r="F1478" s="114" t="b">
        <v>0</v>
      </c>
      <c r="G1478" s="114" t="b">
        <v>0</v>
      </c>
    </row>
    <row r="1479" spans="1:7" ht="15">
      <c r="A1479" s="114" t="s">
        <v>1831</v>
      </c>
      <c r="B1479" s="114">
        <v>9</v>
      </c>
      <c r="C1479" s="116">
        <v>0.004780032444552434</v>
      </c>
      <c r="D1479" s="114" t="s">
        <v>1712</v>
      </c>
      <c r="E1479" s="114" t="b">
        <v>0</v>
      </c>
      <c r="F1479" s="114" t="b">
        <v>0</v>
      </c>
      <c r="G1479" s="114" t="b">
        <v>0</v>
      </c>
    </row>
    <row r="1480" spans="1:7" ht="15">
      <c r="A1480" s="114" t="s">
        <v>1906</v>
      </c>
      <c r="B1480" s="114">
        <v>9</v>
      </c>
      <c r="C1480" s="116">
        <v>0.004780032444552434</v>
      </c>
      <c r="D1480" s="114" t="s">
        <v>1712</v>
      </c>
      <c r="E1480" s="114" t="b">
        <v>0</v>
      </c>
      <c r="F1480" s="114" t="b">
        <v>0</v>
      </c>
      <c r="G1480" s="114" t="b">
        <v>0</v>
      </c>
    </row>
    <row r="1481" spans="1:7" ht="15">
      <c r="A1481" s="114" t="s">
        <v>1907</v>
      </c>
      <c r="B1481" s="114">
        <v>9</v>
      </c>
      <c r="C1481" s="116">
        <v>0.01883597775544265</v>
      </c>
      <c r="D1481" s="114" t="s">
        <v>1712</v>
      </c>
      <c r="E1481" s="114" t="b">
        <v>0</v>
      </c>
      <c r="F1481" s="114" t="b">
        <v>0</v>
      </c>
      <c r="G1481" s="114" t="b">
        <v>0</v>
      </c>
    </row>
    <row r="1482" spans="1:7" ht="15">
      <c r="A1482" s="114" t="s">
        <v>1908</v>
      </c>
      <c r="B1482" s="114">
        <v>9</v>
      </c>
      <c r="C1482" s="116">
        <v>0.01883597775544265</v>
      </c>
      <c r="D1482" s="114" t="s">
        <v>1712</v>
      </c>
      <c r="E1482" s="114" t="b">
        <v>0</v>
      </c>
      <c r="F1482" s="114" t="b">
        <v>0</v>
      </c>
      <c r="G1482" s="114" t="b">
        <v>0</v>
      </c>
    </row>
    <row r="1483" spans="1:7" ht="15">
      <c r="A1483" s="114" t="s">
        <v>1930</v>
      </c>
      <c r="B1483" s="114">
        <v>8</v>
      </c>
      <c r="C1483" s="116">
        <v>0.0049186725232194485</v>
      </c>
      <c r="D1483" s="114" t="s">
        <v>1712</v>
      </c>
      <c r="E1483" s="114" t="b">
        <v>0</v>
      </c>
      <c r="F1483" s="114" t="b">
        <v>0</v>
      </c>
      <c r="G1483" s="114" t="b">
        <v>0</v>
      </c>
    </row>
    <row r="1484" spans="1:7" ht="15">
      <c r="A1484" s="114" t="s">
        <v>1931</v>
      </c>
      <c r="B1484" s="114">
        <v>8</v>
      </c>
      <c r="C1484" s="116">
        <v>0.0049186725232194485</v>
      </c>
      <c r="D1484" s="114" t="s">
        <v>1712</v>
      </c>
      <c r="E1484" s="114" t="b">
        <v>0</v>
      </c>
      <c r="F1484" s="114" t="b">
        <v>0</v>
      </c>
      <c r="G1484" s="114" t="b">
        <v>0</v>
      </c>
    </row>
    <row r="1485" spans="1:7" ht="15">
      <c r="A1485" s="114" t="s">
        <v>1932</v>
      </c>
      <c r="B1485" s="114">
        <v>8</v>
      </c>
      <c r="C1485" s="116">
        <v>0.0049186725232194485</v>
      </c>
      <c r="D1485" s="114" t="s">
        <v>1712</v>
      </c>
      <c r="E1485" s="114" t="b">
        <v>0</v>
      </c>
      <c r="F1485" s="114" t="b">
        <v>0</v>
      </c>
      <c r="G1485" s="114" t="b">
        <v>0</v>
      </c>
    </row>
    <row r="1486" spans="1:7" ht="15">
      <c r="A1486" s="114" t="s">
        <v>1927</v>
      </c>
      <c r="B1486" s="114">
        <v>7</v>
      </c>
      <c r="C1486" s="116">
        <v>0.014650204920899839</v>
      </c>
      <c r="D1486" s="114" t="s">
        <v>1712</v>
      </c>
      <c r="E1486" s="114" t="b">
        <v>0</v>
      </c>
      <c r="F1486" s="114" t="b">
        <v>0</v>
      </c>
      <c r="G1486" s="114" t="b">
        <v>0</v>
      </c>
    </row>
    <row r="1487" spans="1:7" ht="15">
      <c r="A1487" s="114" t="s">
        <v>1953</v>
      </c>
      <c r="B1487" s="114">
        <v>7</v>
      </c>
      <c r="C1487" s="116">
        <v>0.014650204920899839</v>
      </c>
      <c r="D1487" s="114" t="s">
        <v>1712</v>
      </c>
      <c r="E1487" s="114" t="b">
        <v>0</v>
      </c>
      <c r="F1487" s="114" t="b">
        <v>0</v>
      </c>
      <c r="G1487" s="114" t="b">
        <v>0</v>
      </c>
    </row>
    <row r="1488" spans="1:7" ht="15">
      <c r="A1488" s="114" t="s">
        <v>1774</v>
      </c>
      <c r="B1488" s="114">
        <v>6</v>
      </c>
      <c r="C1488" s="116">
        <v>0.009601213799890485</v>
      </c>
      <c r="D1488" s="114" t="s">
        <v>1712</v>
      </c>
      <c r="E1488" s="114" t="b">
        <v>0</v>
      </c>
      <c r="F1488" s="114" t="b">
        <v>1</v>
      </c>
      <c r="G1488" s="114" t="b">
        <v>0</v>
      </c>
    </row>
    <row r="1489" spans="1:7" ht="15">
      <c r="A1489" s="114" t="s">
        <v>1767</v>
      </c>
      <c r="B1489" s="114">
        <v>6</v>
      </c>
      <c r="C1489" s="116">
        <v>0.007872003399998362</v>
      </c>
      <c r="D1489" s="114" t="s">
        <v>1712</v>
      </c>
      <c r="E1489" s="114" t="b">
        <v>0</v>
      </c>
      <c r="F1489" s="114" t="b">
        <v>0</v>
      </c>
      <c r="G1489" s="114" t="b">
        <v>0</v>
      </c>
    </row>
    <row r="1490" spans="1:7" ht="15">
      <c r="A1490" s="114" t="s">
        <v>1829</v>
      </c>
      <c r="B1490" s="114">
        <v>6</v>
      </c>
      <c r="C1490" s="116">
        <v>0.012557318503628434</v>
      </c>
      <c r="D1490" s="114" t="s">
        <v>1712</v>
      </c>
      <c r="E1490" s="114" t="b">
        <v>0</v>
      </c>
      <c r="F1490" s="114" t="b">
        <v>0</v>
      </c>
      <c r="G1490" s="114" t="b">
        <v>0</v>
      </c>
    </row>
    <row r="1491" spans="1:7" ht="15">
      <c r="A1491" s="114" t="s">
        <v>1974</v>
      </c>
      <c r="B1491" s="114">
        <v>5</v>
      </c>
      <c r="C1491" s="116">
        <v>0.005537590913460447</v>
      </c>
      <c r="D1491" s="114" t="s">
        <v>1712</v>
      </c>
      <c r="E1491" s="114" t="b">
        <v>0</v>
      </c>
      <c r="F1491" s="114" t="b">
        <v>0</v>
      </c>
      <c r="G1491" s="114" t="b">
        <v>0</v>
      </c>
    </row>
    <row r="1492" spans="1:7" ht="15">
      <c r="A1492" s="114" t="s">
        <v>2024</v>
      </c>
      <c r="B1492" s="114">
        <v>5</v>
      </c>
      <c r="C1492" s="116">
        <v>0.010464432086357028</v>
      </c>
      <c r="D1492" s="114" t="s">
        <v>1712</v>
      </c>
      <c r="E1492" s="114" t="b">
        <v>0</v>
      </c>
      <c r="F1492" s="114" t="b">
        <v>0</v>
      </c>
      <c r="G1492" s="114" t="b">
        <v>0</v>
      </c>
    </row>
    <row r="1493" spans="1:7" ht="15">
      <c r="A1493" s="114" t="s">
        <v>1853</v>
      </c>
      <c r="B1493" s="114">
        <v>5</v>
      </c>
      <c r="C1493" s="116">
        <v>0.010464432086357028</v>
      </c>
      <c r="D1493" s="114" t="s">
        <v>1712</v>
      </c>
      <c r="E1493" s="114" t="b">
        <v>0</v>
      </c>
      <c r="F1493" s="114" t="b">
        <v>0</v>
      </c>
      <c r="G1493" s="114" t="b">
        <v>0</v>
      </c>
    </row>
    <row r="1494" spans="1:7" ht="15">
      <c r="A1494" s="114" t="s">
        <v>1859</v>
      </c>
      <c r="B1494" s="114">
        <v>5</v>
      </c>
      <c r="C1494" s="116">
        <v>0.010464432086357028</v>
      </c>
      <c r="D1494" s="114" t="s">
        <v>1712</v>
      </c>
      <c r="E1494" s="114" t="b">
        <v>0</v>
      </c>
      <c r="F1494" s="114" t="b">
        <v>0</v>
      </c>
      <c r="G1494" s="114" t="b">
        <v>0</v>
      </c>
    </row>
    <row r="1495" spans="1:7" ht="15">
      <c r="A1495" s="114" t="s">
        <v>1741</v>
      </c>
      <c r="B1495" s="114">
        <v>4</v>
      </c>
      <c r="C1495" s="116">
        <v>0.00640080919992699</v>
      </c>
      <c r="D1495" s="114" t="s">
        <v>1712</v>
      </c>
      <c r="E1495" s="114" t="b">
        <v>0</v>
      </c>
      <c r="F1495" s="114" t="b">
        <v>0</v>
      </c>
      <c r="G1495" s="114" t="b">
        <v>0</v>
      </c>
    </row>
    <row r="1496" spans="1:7" ht="15">
      <c r="A1496" s="114" t="s">
        <v>2120</v>
      </c>
      <c r="B1496" s="114">
        <v>4</v>
      </c>
      <c r="C1496" s="116">
        <v>0.008371545669085623</v>
      </c>
      <c r="D1496" s="114" t="s">
        <v>1712</v>
      </c>
      <c r="E1496" s="114" t="b">
        <v>0</v>
      </c>
      <c r="F1496" s="114" t="b">
        <v>0</v>
      </c>
      <c r="G1496" s="114" t="b">
        <v>0</v>
      </c>
    </row>
    <row r="1497" spans="1:7" ht="15">
      <c r="A1497" s="114" t="s">
        <v>2121</v>
      </c>
      <c r="B1497" s="114">
        <v>4</v>
      </c>
      <c r="C1497" s="116">
        <v>0.008371545669085623</v>
      </c>
      <c r="D1497" s="114" t="s">
        <v>1712</v>
      </c>
      <c r="E1497" s="114" t="b">
        <v>0</v>
      </c>
      <c r="F1497" s="114" t="b">
        <v>0</v>
      </c>
      <c r="G1497" s="114" t="b">
        <v>0</v>
      </c>
    </row>
    <row r="1498" spans="1:7" ht="15">
      <c r="A1498" s="114" t="s">
        <v>1843</v>
      </c>
      <c r="B1498" s="114">
        <v>4</v>
      </c>
      <c r="C1498" s="116">
        <v>0.005248002266665575</v>
      </c>
      <c r="D1498" s="114" t="s">
        <v>1712</v>
      </c>
      <c r="E1498" s="114" t="b">
        <v>0</v>
      </c>
      <c r="F1498" s="114" t="b">
        <v>0</v>
      </c>
      <c r="G1498" s="114" t="b">
        <v>0</v>
      </c>
    </row>
    <row r="1499" spans="1:7" ht="15">
      <c r="A1499" s="114" t="s">
        <v>2119</v>
      </c>
      <c r="B1499" s="114">
        <v>4</v>
      </c>
      <c r="C1499" s="116">
        <v>0.008371545669085623</v>
      </c>
      <c r="D1499" s="114" t="s">
        <v>1712</v>
      </c>
      <c r="E1499" s="114" t="b">
        <v>0</v>
      </c>
      <c r="F1499" s="114" t="b">
        <v>0</v>
      </c>
      <c r="G1499" s="114" t="b">
        <v>0</v>
      </c>
    </row>
    <row r="1500" spans="1:7" ht="15">
      <c r="A1500" s="114" t="s">
        <v>1778</v>
      </c>
      <c r="B1500" s="114">
        <v>4</v>
      </c>
      <c r="C1500" s="116">
        <v>0.00640080919992699</v>
      </c>
      <c r="D1500" s="114" t="s">
        <v>1712</v>
      </c>
      <c r="E1500" s="114" t="b">
        <v>0</v>
      </c>
      <c r="F1500" s="114" t="b">
        <v>0</v>
      </c>
      <c r="G1500" s="114" t="b">
        <v>0</v>
      </c>
    </row>
    <row r="1501" spans="1:7" ht="15">
      <c r="A1501" s="114" t="s">
        <v>2118</v>
      </c>
      <c r="B1501" s="114">
        <v>4</v>
      </c>
      <c r="C1501" s="116">
        <v>0.008371545669085623</v>
      </c>
      <c r="D1501" s="114" t="s">
        <v>1712</v>
      </c>
      <c r="E1501" s="114" t="b">
        <v>0</v>
      </c>
      <c r="F1501" s="114" t="b">
        <v>0</v>
      </c>
      <c r="G1501" s="114" t="b">
        <v>0</v>
      </c>
    </row>
    <row r="1502" spans="1:7" ht="15">
      <c r="A1502" s="114" t="s">
        <v>1745</v>
      </c>
      <c r="B1502" s="114">
        <v>4</v>
      </c>
      <c r="C1502" s="116">
        <v>0.008371545669085623</v>
      </c>
      <c r="D1502" s="114" t="s">
        <v>1712</v>
      </c>
      <c r="E1502" s="114" t="b">
        <v>0</v>
      </c>
      <c r="F1502" s="114" t="b">
        <v>0</v>
      </c>
      <c r="G1502" s="114" t="b">
        <v>0</v>
      </c>
    </row>
    <row r="1503" spans="1:7" ht="15">
      <c r="A1503" s="114" t="s">
        <v>1739</v>
      </c>
      <c r="B1503" s="114">
        <v>4</v>
      </c>
      <c r="C1503" s="116">
        <v>0.008371545669085623</v>
      </c>
      <c r="D1503" s="114" t="s">
        <v>1712</v>
      </c>
      <c r="E1503" s="114" t="b">
        <v>0</v>
      </c>
      <c r="F1503" s="114" t="b">
        <v>0</v>
      </c>
      <c r="G1503" s="114" t="b">
        <v>0</v>
      </c>
    </row>
    <row r="1504" spans="1:7" ht="15">
      <c r="A1504" s="114" t="s">
        <v>1744</v>
      </c>
      <c r="B1504" s="114">
        <v>3</v>
      </c>
      <c r="C1504" s="116">
        <v>0.004800606899945242</v>
      </c>
      <c r="D1504" s="114" t="s">
        <v>1712</v>
      </c>
      <c r="E1504" s="114" t="b">
        <v>0</v>
      </c>
      <c r="F1504" s="114" t="b">
        <v>0</v>
      </c>
      <c r="G1504" s="114" t="b">
        <v>0</v>
      </c>
    </row>
    <row r="1505" spans="1:7" ht="15">
      <c r="A1505" s="114" t="s">
        <v>1743</v>
      </c>
      <c r="B1505" s="114">
        <v>3</v>
      </c>
      <c r="C1505" s="116">
        <v>0.004800606899945242</v>
      </c>
      <c r="D1505" s="114" t="s">
        <v>1712</v>
      </c>
      <c r="E1505" s="114" t="b">
        <v>0</v>
      </c>
      <c r="F1505" s="114" t="b">
        <v>0</v>
      </c>
      <c r="G1505" s="114" t="b">
        <v>0</v>
      </c>
    </row>
    <row r="1506" spans="1:7" ht="15">
      <c r="A1506" s="114" t="s">
        <v>2016</v>
      </c>
      <c r="B1506" s="114">
        <v>3</v>
      </c>
      <c r="C1506" s="116">
        <v>0.006278659251814217</v>
      </c>
      <c r="D1506" s="114" t="s">
        <v>1712</v>
      </c>
      <c r="E1506" s="114" t="b">
        <v>0</v>
      </c>
      <c r="F1506" s="114" t="b">
        <v>0</v>
      </c>
      <c r="G1506" s="114" t="b">
        <v>0</v>
      </c>
    </row>
    <row r="1507" spans="1:7" ht="15">
      <c r="A1507" s="114" t="s">
        <v>2265</v>
      </c>
      <c r="B1507" s="114">
        <v>3</v>
      </c>
      <c r="C1507" s="116">
        <v>0.006278659251814217</v>
      </c>
      <c r="D1507" s="114" t="s">
        <v>1712</v>
      </c>
      <c r="E1507" s="114" t="b">
        <v>0</v>
      </c>
      <c r="F1507" s="114" t="b">
        <v>0</v>
      </c>
      <c r="G1507" s="114" t="b">
        <v>0</v>
      </c>
    </row>
    <row r="1508" spans="1:7" ht="15">
      <c r="A1508" s="114" t="s">
        <v>2079</v>
      </c>
      <c r="B1508" s="114">
        <v>3</v>
      </c>
      <c r="C1508" s="116">
        <v>0.004800606899945242</v>
      </c>
      <c r="D1508" s="114" t="s">
        <v>1712</v>
      </c>
      <c r="E1508" s="114" t="b">
        <v>0</v>
      </c>
      <c r="F1508" s="114" t="b">
        <v>0</v>
      </c>
      <c r="G1508" s="114" t="b">
        <v>0</v>
      </c>
    </row>
    <row r="1509" spans="1:7" ht="15">
      <c r="A1509" s="114" t="s">
        <v>1791</v>
      </c>
      <c r="B1509" s="114">
        <v>3</v>
      </c>
      <c r="C1509" s="116">
        <v>0.006278659251814217</v>
      </c>
      <c r="D1509" s="114" t="s">
        <v>1712</v>
      </c>
      <c r="E1509" s="114" t="b">
        <v>0</v>
      </c>
      <c r="F1509" s="114" t="b">
        <v>0</v>
      </c>
      <c r="G1509" s="114" t="b">
        <v>0</v>
      </c>
    </row>
    <row r="1510" spans="1:7" ht="15">
      <c r="A1510" s="114" t="s">
        <v>2264</v>
      </c>
      <c r="B1510" s="114">
        <v>3</v>
      </c>
      <c r="C1510" s="116">
        <v>0.006278659251814217</v>
      </c>
      <c r="D1510" s="114" t="s">
        <v>1712</v>
      </c>
      <c r="E1510" s="114" t="b">
        <v>0</v>
      </c>
      <c r="F1510" s="114" t="b">
        <v>0</v>
      </c>
      <c r="G1510" s="114" t="b">
        <v>0</v>
      </c>
    </row>
    <row r="1511" spans="1:7" ht="15">
      <c r="A1511" s="114" t="s">
        <v>1814</v>
      </c>
      <c r="B1511" s="114">
        <v>2</v>
      </c>
      <c r="C1511" s="116">
        <v>0.0041857728345428115</v>
      </c>
      <c r="D1511" s="114" t="s">
        <v>1712</v>
      </c>
      <c r="E1511" s="114" t="b">
        <v>0</v>
      </c>
      <c r="F1511" s="114" t="b">
        <v>0</v>
      </c>
      <c r="G1511" s="114" t="b">
        <v>0</v>
      </c>
    </row>
    <row r="1512" spans="1:7" ht="15">
      <c r="A1512" s="114" t="s">
        <v>2139</v>
      </c>
      <c r="B1512" s="114">
        <v>2</v>
      </c>
      <c r="C1512" s="116">
        <v>0.0041857728345428115</v>
      </c>
      <c r="D1512" s="114" t="s">
        <v>1712</v>
      </c>
      <c r="E1512" s="114" t="b">
        <v>0</v>
      </c>
      <c r="F1512" s="114" t="b">
        <v>0</v>
      </c>
      <c r="G1512" s="114" t="b">
        <v>0</v>
      </c>
    </row>
    <row r="1513" spans="1:7" ht="15">
      <c r="A1513" s="114" t="s">
        <v>1852</v>
      </c>
      <c r="B1513" s="114">
        <v>2</v>
      </c>
      <c r="C1513" s="116">
        <v>0.0041857728345428115</v>
      </c>
      <c r="D1513" s="114" t="s">
        <v>1712</v>
      </c>
      <c r="E1513" s="114" t="b">
        <v>0</v>
      </c>
      <c r="F1513" s="114" t="b">
        <v>0</v>
      </c>
      <c r="G1513" s="114" t="b">
        <v>0</v>
      </c>
    </row>
    <row r="1514" spans="1:7" ht="15">
      <c r="A1514" s="114" t="s">
        <v>2553</v>
      </c>
      <c r="B1514" s="114">
        <v>2</v>
      </c>
      <c r="C1514" s="116">
        <v>0.0041857728345428115</v>
      </c>
      <c r="D1514" s="114" t="s">
        <v>1712</v>
      </c>
      <c r="E1514" s="114" t="b">
        <v>0</v>
      </c>
      <c r="F1514" s="114" t="b">
        <v>0</v>
      </c>
      <c r="G1514" s="114" t="b">
        <v>0</v>
      </c>
    </row>
    <row r="1515" spans="1:7" ht="15">
      <c r="A1515" s="114" t="s">
        <v>2551</v>
      </c>
      <c r="B1515" s="114">
        <v>2</v>
      </c>
      <c r="C1515" s="116">
        <v>0.0041857728345428115</v>
      </c>
      <c r="D1515" s="114" t="s">
        <v>1712</v>
      </c>
      <c r="E1515" s="114" t="b">
        <v>0</v>
      </c>
      <c r="F1515" s="114" t="b">
        <v>0</v>
      </c>
      <c r="G1515" s="114" t="b">
        <v>0</v>
      </c>
    </row>
    <row r="1516" spans="1:7" ht="15">
      <c r="A1516" s="114" t="s">
        <v>2552</v>
      </c>
      <c r="B1516" s="114">
        <v>2</v>
      </c>
      <c r="C1516" s="116">
        <v>0.0041857728345428115</v>
      </c>
      <c r="D1516" s="114" t="s">
        <v>1712</v>
      </c>
      <c r="E1516" s="114" t="b">
        <v>0</v>
      </c>
      <c r="F1516" s="114" t="b">
        <v>0</v>
      </c>
      <c r="G1516" s="114" t="b">
        <v>0</v>
      </c>
    </row>
    <row r="1517" spans="1:7" ht="15">
      <c r="A1517" s="114" t="s">
        <v>2550</v>
      </c>
      <c r="B1517" s="114">
        <v>2</v>
      </c>
      <c r="C1517" s="116">
        <v>0.003200404599963495</v>
      </c>
      <c r="D1517" s="114" t="s">
        <v>1712</v>
      </c>
      <c r="E1517" s="114" t="b">
        <v>0</v>
      </c>
      <c r="F1517" s="114" t="b">
        <v>0</v>
      </c>
      <c r="G1517" s="114" t="b">
        <v>0</v>
      </c>
    </row>
    <row r="1518" spans="1:7" ht="15">
      <c r="A1518" s="114" t="s">
        <v>2547</v>
      </c>
      <c r="B1518" s="114">
        <v>2</v>
      </c>
      <c r="C1518" s="116">
        <v>0.003200404599963495</v>
      </c>
      <c r="D1518" s="114" t="s">
        <v>1712</v>
      </c>
      <c r="E1518" s="114" t="b">
        <v>0</v>
      </c>
      <c r="F1518" s="114" t="b">
        <v>0</v>
      </c>
      <c r="G1518" s="114" t="b">
        <v>0</v>
      </c>
    </row>
    <row r="1519" spans="1:7" ht="15">
      <c r="A1519" s="114" t="s">
        <v>2549</v>
      </c>
      <c r="B1519" s="114">
        <v>2</v>
      </c>
      <c r="C1519" s="116">
        <v>0.003200404599963495</v>
      </c>
      <c r="D1519" s="114" t="s">
        <v>1712</v>
      </c>
      <c r="E1519" s="114" t="b">
        <v>0</v>
      </c>
      <c r="F1519" s="114" t="b">
        <v>0</v>
      </c>
      <c r="G1519" s="114" t="b">
        <v>0</v>
      </c>
    </row>
    <row r="1520" spans="1:7" ht="15">
      <c r="A1520" s="114" t="s">
        <v>2540</v>
      </c>
      <c r="B1520" s="114">
        <v>2</v>
      </c>
      <c r="C1520" s="116">
        <v>0.003200404599963495</v>
      </c>
      <c r="D1520" s="114" t="s">
        <v>1712</v>
      </c>
      <c r="E1520" s="114" t="b">
        <v>0</v>
      </c>
      <c r="F1520" s="114" t="b">
        <v>0</v>
      </c>
      <c r="G1520" s="114" t="b">
        <v>0</v>
      </c>
    </row>
    <row r="1521" spans="1:7" ht="15">
      <c r="A1521" s="114" t="s">
        <v>2538</v>
      </c>
      <c r="B1521" s="114">
        <v>2</v>
      </c>
      <c r="C1521" s="116">
        <v>0.003200404599963495</v>
      </c>
      <c r="D1521" s="114" t="s">
        <v>1712</v>
      </c>
      <c r="E1521" s="114" t="b">
        <v>0</v>
      </c>
      <c r="F1521" s="114" t="b">
        <v>0</v>
      </c>
      <c r="G1521" s="114" t="b">
        <v>0</v>
      </c>
    </row>
    <row r="1522" spans="1:7" ht="15">
      <c r="A1522" s="114" t="s">
        <v>2122</v>
      </c>
      <c r="B1522" s="114">
        <v>2</v>
      </c>
      <c r="C1522" s="116">
        <v>0.003200404599963495</v>
      </c>
      <c r="D1522" s="114" t="s">
        <v>1712</v>
      </c>
      <c r="E1522" s="114" t="b">
        <v>0</v>
      </c>
      <c r="F1522" s="114" t="b">
        <v>0</v>
      </c>
      <c r="G1522" s="114" t="b">
        <v>0</v>
      </c>
    </row>
    <row r="1523" spans="1:7" ht="15">
      <c r="A1523" s="114" t="s">
        <v>2541</v>
      </c>
      <c r="B1523" s="114">
        <v>2</v>
      </c>
      <c r="C1523" s="116">
        <v>0.003200404599963495</v>
      </c>
      <c r="D1523" s="114" t="s">
        <v>1712</v>
      </c>
      <c r="E1523" s="114" t="b">
        <v>0</v>
      </c>
      <c r="F1523" s="114" t="b">
        <v>0</v>
      </c>
      <c r="G1523" s="114" t="b">
        <v>0</v>
      </c>
    </row>
    <row r="1524" spans="1:7" ht="15">
      <c r="A1524" s="114" t="s">
        <v>2542</v>
      </c>
      <c r="B1524" s="114">
        <v>2</v>
      </c>
      <c r="C1524" s="116">
        <v>0.003200404599963495</v>
      </c>
      <c r="D1524" s="114" t="s">
        <v>1712</v>
      </c>
      <c r="E1524" s="114" t="b">
        <v>0</v>
      </c>
      <c r="F1524" s="114" t="b">
        <v>0</v>
      </c>
      <c r="G1524" s="114" t="b">
        <v>0</v>
      </c>
    </row>
    <row r="1525" spans="1:7" ht="15">
      <c r="A1525" s="114" t="s">
        <v>2548</v>
      </c>
      <c r="B1525" s="114">
        <v>2</v>
      </c>
      <c r="C1525" s="116">
        <v>0.0041857728345428115</v>
      </c>
      <c r="D1525" s="114" t="s">
        <v>1712</v>
      </c>
      <c r="E1525" s="114" t="b">
        <v>1</v>
      </c>
      <c r="F1525" s="114" t="b">
        <v>0</v>
      </c>
      <c r="G1525" s="114" t="b">
        <v>0</v>
      </c>
    </row>
    <row r="1526" spans="1:7" ht="15">
      <c r="A1526" s="114" t="s">
        <v>1784</v>
      </c>
      <c r="B1526" s="114">
        <v>2</v>
      </c>
      <c r="C1526" s="116">
        <v>0.003200404599963495</v>
      </c>
      <c r="D1526" s="114" t="s">
        <v>1712</v>
      </c>
      <c r="E1526" s="114" t="b">
        <v>0</v>
      </c>
      <c r="F1526" s="114" t="b">
        <v>0</v>
      </c>
      <c r="G1526" s="114" t="b">
        <v>0</v>
      </c>
    </row>
    <row r="1527" spans="1:7" ht="15">
      <c r="A1527" s="114" t="s">
        <v>1780</v>
      </c>
      <c r="B1527" s="114">
        <v>2</v>
      </c>
      <c r="C1527" s="116">
        <v>0.003200404599963495</v>
      </c>
      <c r="D1527" s="114" t="s">
        <v>1712</v>
      </c>
      <c r="E1527" s="114" t="b">
        <v>0</v>
      </c>
      <c r="F1527" s="114" t="b">
        <v>0</v>
      </c>
      <c r="G1527" s="114" t="b">
        <v>0</v>
      </c>
    </row>
    <row r="1528" spans="1:7" ht="15">
      <c r="A1528" s="114" t="s">
        <v>1781</v>
      </c>
      <c r="B1528" s="114">
        <v>2</v>
      </c>
      <c r="C1528" s="116">
        <v>0.003200404599963495</v>
      </c>
      <c r="D1528" s="114" t="s">
        <v>1712</v>
      </c>
      <c r="E1528" s="114" t="b">
        <v>0</v>
      </c>
      <c r="F1528" s="114" t="b">
        <v>0</v>
      </c>
      <c r="G1528" s="114" t="b">
        <v>0</v>
      </c>
    </row>
    <row r="1529" spans="1:7" ht="15">
      <c r="A1529" s="114" t="s">
        <v>2263</v>
      </c>
      <c r="B1529" s="114">
        <v>2</v>
      </c>
      <c r="C1529" s="116">
        <v>0.0041857728345428115</v>
      </c>
      <c r="D1529" s="114" t="s">
        <v>1712</v>
      </c>
      <c r="E1529" s="114" t="b">
        <v>0</v>
      </c>
      <c r="F1529" s="114" t="b">
        <v>0</v>
      </c>
      <c r="G1529" s="114" t="b">
        <v>0</v>
      </c>
    </row>
    <row r="1530" spans="1:7" ht="15">
      <c r="A1530" s="114" t="s">
        <v>2017</v>
      </c>
      <c r="B1530" s="114">
        <v>2</v>
      </c>
      <c r="C1530" s="116">
        <v>0.0041857728345428115</v>
      </c>
      <c r="D1530" s="114" t="s">
        <v>1712</v>
      </c>
      <c r="E1530" s="114" t="b">
        <v>0</v>
      </c>
      <c r="F1530" s="114" t="b">
        <v>0</v>
      </c>
      <c r="G1530" s="114" t="b">
        <v>0</v>
      </c>
    </row>
    <row r="1531" spans="1:7" ht="15">
      <c r="A1531" s="114" t="s">
        <v>2543</v>
      </c>
      <c r="B1531" s="114">
        <v>2</v>
      </c>
      <c r="C1531" s="116">
        <v>0.0041857728345428115</v>
      </c>
      <c r="D1531" s="114" t="s">
        <v>1712</v>
      </c>
      <c r="E1531" s="114" t="b">
        <v>0</v>
      </c>
      <c r="F1531" s="114" t="b">
        <v>0</v>
      </c>
      <c r="G1531" s="114" t="b">
        <v>0</v>
      </c>
    </row>
    <row r="1532" spans="1:7" ht="15">
      <c r="A1532" s="114" t="s">
        <v>2544</v>
      </c>
      <c r="B1532" s="114">
        <v>2</v>
      </c>
      <c r="C1532" s="116">
        <v>0.0041857728345428115</v>
      </c>
      <c r="D1532" s="114" t="s">
        <v>1712</v>
      </c>
      <c r="E1532" s="114" t="b">
        <v>0</v>
      </c>
      <c r="F1532" s="114" t="b">
        <v>0</v>
      </c>
      <c r="G1532" s="114" t="b">
        <v>0</v>
      </c>
    </row>
    <row r="1533" spans="1:7" ht="15">
      <c r="A1533" s="114" t="s">
        <v>2545</v>
      </c>
      <c r="B1533" s="114">
        <v>2</v>
      </c>
      <c r="C1533" s="116">
        <v>0.0041857728345428115</v>
      </c>
      <c r="D1533" s="114" t="s">
        <v>1712</v>
      </c>
      <c r="E1533" s="114" t="b">
        <v>0</v>
      </c>
      <c r="F1533" s="114" t="b">
        <v>0</v>
      </c>
      <c r="G1533" s="114" t="b">
        <v>0</v>
      </c>
    </row>
    <row r="1534" spans="1:7" ht="15">
      <c r="A1534" s="114" t="s">
        <v>2546</v>
      </c>
      <c r="B1534" s="114">
        <v>2</v>
      </c>
      <c r="C1534" s="116">
        <v>0.0041857728345428115</v>
      </c>
      <c r="D1534" s="114" t="s">
        <v>1712</v>
      </c>
      <c r="E1534" s="114" t="b">
        <v>0</v>
      </c>
      <c r="F1534" s="114" t="b">
        <v>0</v>
      </c>
      <c r="G1534" s="114" t="b">
        <v>0</v>
      </c>
    </row>
    <row r="1535" spans="1:7" ht="15">
      <c r="A1535" s="114" t="s">
        <v>2539</v>
      </c>
      <c r="B1535" s="114">
        <v>2</v>
      </c>
      <c r="C1535" s="116">
        <v>0.0041857728345428115</v>
      </c>
      <c r="D1535" s="114" t="s">
        <v>1712</v>
      </c>
      <c r="E1535" s="114" t="b">
        <v>0</v>
      </c>
      <c r="F1535" s="114" t="b">
        <v>0</v>
      </c>
      <c r="G1535" s="114" t="b">
        <v>0</v>
      </c>
    </row>
    <row r="1536" spans="1:7" ht="15">
      <c r="A1536" s="114" t="s">
        <v>2198</v>
      </c>
      <c r="B1536" s="114">
        <v>2</v>
      </c>
      <c r="C1536" s="116">
        <v>0.0041857728345428115</v>
      </c>
      <c r="D1536" s="114" t="s">
        <v>1712</v>
      </c>
      <c r="E1536" s="114" t="b">
        <v>0</v>
      </c>
      <c r="F1536" s="114" t="b">
        <v>0</v>
      </c>
      <c r="G1536" s="114" t="b">
        <v>0</v>
      </c>
    </row>
    <row r="1537" spans="1:7" ht="15">
      <c r="A1537" s="114" t="s">
        <v>1740</v>
      </c>
      <c r="B1537" s="114">
        <v>31</v>
      </c>
      <c r="C1537" s="116">
        <v>0.012440118432269612</v>
      </c>
      <c r="D1537" s="114" t="s">
        <v>1713</v>
      </c>
      <c r="E1537" s="114" t="b">
        <v>0</v>
      </c>
      <c r="F1537" s="114" t="b">
        <v>0</v>
      </c>
      <c r="G1537" s="114" t="b">
        <v>0</v>
      </c>
    </row>
    <row r="1538" spans="1:7" ht="15">
      <c r="A1538" s="114" t="s">
        <v>1779</v>
      </c>
      <c r="B1538" s="114">
        <v>22</v>
      </c>
      <c r="C1538" s="116">
        <v>0.01353119040306774</v>
      </c>
      <c r="D1538" s="114" t="s">
        <v>1713</v>
      </c>
      <c r="E1538" s="114" t="b">
        <v>0</v>
      </c>
      <c r="F1538" s="114" t="b">
        <v>0</v>
      </c>
      <c r="G1538" s="114" t="b">
        <v>0</v>
      </c>
    </row>
    <row r="1539" spans="1:7" ht="15">
      <c r="A1539" s="114" t="s">
        <v>1756</v>
      </c>
      <c r="B1539" s="114">
        <v>12</v>
      </c>
      <c r="C1539" s="116">
        <v>0.012963894979957072</v>
      </c>
      <c r="D1539" s="114" t="s">
        <v>1713</v>
      </c>
      <c r="E1539" s="114" t="b">
        <v>0</v>
      </c>
      <c r="F1539" s="114" t="b">
        <v>0</v>
      </c>
      <c r="G1539" s="114" t="b">
        <v>0</v>
      </c>
    </row>
    <row r="1540" spans="1:7" ht="15">
      <c r="A1540" s="114" t="s">
        <v>1844</v>
      </c>
      <c r="B1540" s="114">
        <v>12</v>
      </c>
      <c r="C1540" s="116">
        <v>0.01854714064914992</v>
      </c>
      <c r="D1540" s="114" t="s">
        <v>1713</v>
      </c>
      <c r="E1540" s="114" t="b">
        <v>0</v>
      </c>
      <c r="F1540" s="114" t="b">
        <v>0</v>
      </c>
      <c r="G1540" s="114" t="b">
        <v>0</v>
      </c>
    </row>
    <row r="1541" spans="1:7" ht="15">
      <c r="A1541" s="114" t="s">
        <v>1866</v>
      </c>
      <c r="B1541" s="114">
        <v>10</v>
      </c>
      <c r="C1541" s="116">
        <v>0.008081588025971215</v>
      </c>
      <c r="D1541" s="114" t="s">
        <v>1713</v>
      </c>
      <c r="E1541" s="114" t="b">
        <v>0</v>
      </c>
      <c r="F1541" s="114" t="b">
        <v>0</v>
      </c>
      <c r="G1541" s="114" t="b">
        <v>0</v>
      </c>
    </row>
    <row r="1542" spans="1:7" ht="15">
      <c r="A1542" s="114" t="s">
        <v>1745</v>
      </c>
      <c r="B1542" s="114">
        <v>10</v>
      </c>
      <c r="C1542" s="116">
        <v>0.01273429275029859</v>
      </c>
      <c r="D1542" s="114" t="s">
        <v>1713</v>
      </c>
      <c r="E1542" s="114" t="b">
        <v>0</v>
      </c>
      <c r="F1542" s="114" t="b">
        <v>0</v>
      </c>
      <c r="G1542" s="114" t="b">
        <v>0</v>
      </c>
    </row>
    <row r="1543" spans="1:7" ht="15">
      <c r="A1543" s="114" t="s">
        <v>1884</v>
      </c>
      <c r="B1543" s="114">
        <v>10</v>
      </c>
      <c r="C1543" s="116">
        <v>0.020108655265285647</v>
      </c>
      <c r="D1543" s="114" t="s">
        <v>1713</v>
      </c>
      <c r="E1543" s="114" t="b">
        <v>0</v>
      </c>
      <c r="F1543" s="114" t="b">
        <v>0</v>
      </c>
      <c r="G1543" s="114" t="b">
        <v>0</v>
      </c>
    </row>
    <row r="1544" spans="1:7" ht="15">
      <c r="A1544" s="114" t="s">
        <v>1749</v>
      </c>
      <c r="B1544" s="114">
        <v>10</v>
      </c>
      <c r="C1544" s="116">
        <v>0.020108655265285647</v>
      </c>
      <c r="D1544" s="114" t="s">
        <v>1713</v>
      </c>
      <c r="E1544" s="114" t="b">
        <v>0</v>
      </c>
      <c r="F1544" s="114" t="b">
        <v>0</v>
      </c>
      <c r="G1544" s="114" t="b">
        <v>0</v>
      </c>
    </row>
    <row r="1545" spans="1:7" ht="15">
      <c r="A1545" s="114" t="s">
        <v>1755</v>
      </c>
      <c r="B1545" s="114">
        <v>8</v>
      </c>
      <c r="C1545" s="116">
        <v>0.004920432873842814</v>
      </c>
      <c r="D1545" s="114" t="s">
        <v>1713</v>
      </c>
      <c r="E1545" s="114" t="b">
        <v>0</v>
      </c>
      <c r="F1545" s="114" t="b">
        <v>0</v>
      </c>
      <c r="G1545" s="114" t="b">
        <v>0</v>
      </c>
    </row>
    <row r="1546" spans="1:7" ht="15">
      <c r="A1546" s="114" t="s">
        <v>1929</v>
      </c>
      <c r="B1546" s="114">
        <v>8</v>
      </c>
      <c r="C1546" s="116">
        <v>0.016086924212228515</v>
      </c>
      <c r="D1546" s="114" t="s">
        <v>1713</v>
      </c>
      <c r="E1546" s="114" t="b">
        <v>0</v>
      </c>
      <c r="F1546" s="114" t="b">
        <v>1</v>
      </c>
      <c r="G1546" s="114" t="b">
        <v>0</v>
      </c>
    </row>
    <row r="1547" spans="1:7" ht="15">
      <c r="A1547" s="114" t="s">
        <v>1820</v>
      </c>
      <c r="B1547" s="114">
        <v>7</v>
      </c>
      <c r="C1547" s="116">
        <v>0.01407605868569995</v>
      </c>
      <c r="D1547" s="114" t="s">
        <v>1713</v>
      </c>
      <c r="E1547" s="114" t="b">
        <v>0</v>
      </c>
      <c r="F1547" s="114" t="b">
        <v>0</v>
      </c>
      <c r="G1547" s="114" t="b">
        <v>0</v>
      </c>
    </row>
    <row r="1548" spans="1:7" ht="15">
      <c r="A1548" s="114" t="s">
        <v>1954</v>
      </c>
      <c r="B1548" s="114">
        <v>6</v>
      </c>
      <c r="C1548" s="116">
        <v>0.004848952815582729</v>
      </c>
      <c r="D1548" s="114" t="s">
        <v>1713</v>
      </c>
      <c r="E1548" s="114" t="b">
        <v>0</v>
      </c>
      <c r="F1548" s="114" t="b">
        <v>0</v>
      </c>
      <c r="G1548" s="114" t="b">
        <v>0</v>
      </c>
    </row>
    <row r="1549" spans="1:7" ht="15">
      <c r="A1549" s="114" t="s">
        <v>1955</v>
      </c>
      <c r="B1549" s="114">
        <v>6</v>
      </c>
      <c r="C1549" s="116">
        <v>0.004848952815582729</v>
      </c>
      <c r="D1549" s="114" t="s">
        <v>1713</v>
      </c>
      <c r="E1549" s="114" t="b">
        <v>0</v>
      </c>
      <c r="F1549" s="114" t="b">
        <v>0</v>
      </c>
      <c r="G1549" s="114" t="b">
        <v>0</v>
      </c>
    </row>
    <row r="1550" spans="1:7" ht="15">
      <c r="A1550" s="114" t="s">
        <v>1790</v>
      </c>
      <c r="B1550" s="114">
        <v>6</v>
      </c>
      <c r="C1550" s="116">
        <v>0.006481947489978536</v>
      </c>
      <c r="D1550" s="114" t="s">
        <v>1713</v>
      </c>
      <c r="E1550" s="114" t="b">
        <v>0</v>
      </c>
      <c r="F1550" s="114" t="b">
        <v>0</v>
      </c>
      <c r="G1550" s="114" t="b">
        <v>0</v>
      </c>
    </row>
    <row r="1551" spans="1:7" ht="15">
      <c r="A1551" s="114" t="s">
        <v>1886</v>
      </c>
      <c r="B1551" s="114">
        <v>5</v>
      </c>
      <c r="C1551" s="116">
        <v>0.005401622908315447</v>
      </c>
      <c r="D1551" s="114" t="s">
        <v>1713</v>
      </c>
      <c r="E1551" s="114" t="b">
        <v>0</v>
      </c>
      <c r="F1551" s="114" t="b">
        <v>0</v>
      </c>
      <c r="G1551" s="114" t="b">
        <v>0</v>
      </c>
    </row>
    <row r="1552" spans="1:7" ht="15">
      <c r="A1552" s="114" t="s">
        <v>1854</v>
      </c>
      <c r="B1552" s="114">
        <v>5</v>
      </c>
      <c r="C1552" s="116">
        <v>0.0077279752704791345</v>
      </c>
      <c r="D1552" s="114" t="s">
        <v>1713</v>
      </c>
      <c r="E1552" s="114" t="b">
        <v>0</v>
      </c>
      <c r="F1552" s="114" t="b">
        <v>0</v>
      </c>
      <c r="G1552" s="114" t="b">
        <v>0</v>
      </c>
    </row>
    <row r="1553" spans="1:7" ht="15">
      <c r="A1553" s="114" t="s">
        <v>1855</v>
      </c>
      <c r="B1553" s="114">
        <v>5</v>
      </c>
      <c r="C1553" s="116">
        <v>0.0077279752704791345</v>
      </c>
      <c r="D1553" s="114" t="s">
        <v>1713</v>
      </c>
      <c r="E1553" s="114" t="b">
        <v>0</v>
      </c>
      <c r="F1553" s="114" t="b">
        <v>0</v>
      </c>
      <c r="G1553" s="114" t="b">
        <v>0</v>
      </c>
    </row>
    <row r="1554" spans="1:7" ht="15">
      <c r="A1554" s="114" t="s">
        <v>1761</v>
      </c>
      <c r="B1554" s="114">
        <v>5</v>
      </c>
      <c r="C1554" s="116">
        <v>0.006367146375149295</v>
      </c>
      <c r="D1554" s="114" t="s">
        <v>1713</v>
      </c>
      <c r="E1554" s="114" t="b">
        <v>0</v>
      </c>
      <c r="F1554" s="114" t="b">
        <v>0</v>
      </c>
      <c r="G1554" s="114" t="b">
        <v>0</v>
      </c>
    </row>
    <row r="1555" spans="1:7" ht="15">
      <c r="A1555" s="114" t="s">
        <v>1739</v>
      </c>
      <c r="B1555" s="114">
        <v>5</v>
      </c>
      <c r="C1555" s="116">
        <v>0.0077279752704791345</v>
      </c>
      <c r="D1555" s="114" t="s">
        <v>1713</v>
      </c>
      <c r="E1555" s="114" t="b">
        <v>0</v>
      </c>
      <c r="F1555" s="114" t="b">
        <v>0</v>
      </c>
      <c r="G1555" s="114" t="b">
        <v>0</v>
      </c>
    </row>
    <row r="1556" spans="1:7" ht="15">
      <c r="A1556" s="114" t="s">
        <v>1882</v>
      </c>
      <c r="B1556" s="114">
        <v>5</v>
      </c>
      <c r="C1556" s="116">
        <v>0.010054327632642824</v>
      </c>
      <c r="D1556" s="114" t="s">
        <v>1713</v>
      </c>
      <c r="E1556" s="114" t="b">
        <v>0</v>
      </c>
      <c r="F1556" s="114" t="b">
        <v>0</v>
      </c>
      <c r="G1556" s="114" t="b">
        <v>0</v>
      </c>
    </row>
    <row r="1557" spans="1:7" ht="15">
      <c r="A1557" s="114" t="s">
        <v>2023</v>
      </c>
      <c r="B1557" s="114">
        <v>5</v>
      </c>
      <c r="C1557" s="116">
        <v>0.010054327632642824</v>
      </c>
      <c r="D1557" s="114" t="s">
        <v>1713</v>
      </c>
      <c r="E1557" s="114" t="b">
        <v>0</v>
      </c>
      <c r="F1557" s="114" t="b">
        <v>0</v>
      </c>
      <c r="G1557" s="114" t="b">
        <v>0</v>
      </c>
    </row>
    <row r="1558" spans="1:7" ht="15">
      <c r="A1558" s="114" t="s">
        <v>2029</v>
      </c>
      <c r="B1558" s="114">
        <v>4</v>
      </c>
      <c r="C1558" s="116">
        <v>0.004321298326652357</v>
      </c>
      <c r="D1558" s="114" t="s">
        <v>1713</v>
      </c>
      <c r="E1558" s="114" t="b">
        <v>0</v>
      </c>
      <c r="F1558" s="114" t="b">
        <v>0</v>
      </c>
      <c r="G1558" s="114" t="b">
        <v>0</v>
      </c>
    </row>
    <row r="1559" spans="1:7" ht="15">
      <c r="A1559" s="114" t="s">
        <v>2030</v>
      </c>
      <c r="B1559" s="114">
        <v>4</v>
      </c>
      <c r="C1559" s="116">
        <v>0.004321298326652357</v>
      </c>
      <c r="D1559" s="114" t="s">
        <v>1713</v>
      </c>
      <c r="E1559" s="114" t="b">
        <v>0</v>
      </c>
      <c r="F1559" s="114" t="b">
        <v>0</v>
      </c>
      <c r="G1559" s="114" t="b">
        <v>0</v>
      </c>
    </row>
    <row r="1560" spans="1:7" ht="15">
      <c r="A1560" s="114" t="s">
        <v>2031</v>
      </c>
      <c r="B1560" s="114">
        <v>4</v>
      </c>
      <c r="C1560" s="116">
        <v>0.004321298326652357</v>
      </c>
      <c r="D1560" s="114" t="s">
        <v>1713</v>
      </c>
      <c r="E1560" s="114" t="b">
        <v>0</v>
      </c>
      <c r="F1560" s="114" t="b">
        <v>0</v>
      </c>
      <c r="G1560" s="114" t="b">
        <v>0</v>
      </c>
    </row>
    <row r="1561" spans="1:7" ht="15">
      <c r="A1561" s="114" t="s">
        <v>2032</v>
      </c>
      <c r="B1561" s="114">
        <v>4</v>
      </c>
      <c r="C1561" s="116">
        <v>0.004321298326652357</v>
      </c>
      <c r="D1561" s="114" t="s">
        <v>1713</v>
      </c>
      <c r="E1561" s="114" t="b">
        <v>0</v>
      </c>
      <c r="F1561" s="114" t="b">
        <v>0</v>
      </c>
      <c r="G1561" s="114" t="b">
        <v>0</v>
      </c>
    </row>
    <row r="1562" spans="1:7" ht="15">
      <c r="A1562" s="114" t="s">
        <v>1847</v>
      </c>
      <c r="B1562" s="114">
        <v>4</v>
      </c>
      <c r="C1562" s="116">
        <v>0.004321298326652357</v>
      </c>
      <c r="D1562" s="114" t="s">
        <v>1713</v>
      </c>
      <c r="E1562" s="114" t="b">
        <v>0</v>
      </c>
      <c r="F1562" s="114" t="b">
        <v>0</v>
      </c>
      <c r="G1562" s="114" t="b">
        <v>0</v>
      </c>
    </row>
    <row r="1563" spans="1:7" ht="15">
      <c r="A1563" s="114" t="s">
        <v>1888</v>
      </c>
      <c r="B1563" s="114">
        <v>4</v>
      </c>
      <c r="C1563" s="116">
        <v>0.004321298326652357</v>
      </c>
      <c r="D1563" s="114" t="s">
        <v>1713</v>
      </c>
      <c r="E1563" s="114" t="b">
        <v>0</v>
      </c>
      <c r="F1563" s="114" t="b">
        <v>0</v>
      </c>
      <c r="G1563" s="114" t="b">
        <v>0</v>
      </c>
    </row>
    <row r="1564" spans="1:7" ht="15">
      <c r="A1564" s="114" t="s">
        <v>1764</v>
      </c>
      <c r="B1564" s="114">
        <v>4</v>
      </c>
      <c r="C1564" s="116">
        <v>0.004321298326652357</v>
      </c>
      <c r="D1564" s="114" t="s">
        <v>1713</v>
      </c>
      <c r="E1564" s="114" t="b">
        <v>0</v>
      </c>
      <c r="F1564" s="114" t="b">
        <v>0</v>
      </c>
      <c r="G1564" s="114" t="b">
        <v>0</v>
      </c>
    </row>
    <row r="1565" spans="1:7" ht="15">
      <c r="A1565" s="114" t="s">
        <v>2112</v>
      </c>
      <c r="B1565" s="114">
        <v>4</v>
      </c>
      <c r="C1565" s="116">
        <v>0.0061823802163833074</v>
      </c>
      <c r="D1565" s="114" t="s">
        <v>1713</v>
      </c>
      <c r="E1565" s="114" t="b">
        <v>0</v>
      </c>
      <c r="F1565" s="114" t="b">
        <v>0</v>
      </c>
      <c r="G1565" s="114" t="b">
        <v>0</v>
      </c>
    </row>
    <row r="1566" spans="1:7" ht="15">
      <c r="A1566" s="114" t="s">
        <v>2010</v>
      </c>
      <c r="B1566" s="114">
        <v>4</v>
      </c>
      <c r="C1566" s="116">
        <v>0.0050937171001194355</v>
      </c>
      <c r="D1566" s="114" t="s">
        <v>1713</v>
      </c>
      <c r="E1566" s="114" t="b">
        <v>0</v>
      </c>
      <c r="F1566" s="114" t="b">
        <v>0</v>
      </c>
      <c r="G1566" s="114" t="b">
        <v>0</v>
      </c>
    </row>
    <row r="1567" spans="1:7" ht="15">
      <c r="A1567" s="114" t="s">
        <v>2109</v>
      </c>
      <c r="B1567" s="114">
        <v>4</v>
      </c>
      <c r="C1567" s="116">
        <v>0.004321298326652357</v>
      </c>
      <c r="D1567" s="114" t="s">
        <v>1713</v>
      </c>
      <c r="E1567" s="114" t="b">
        <v>0</v>
      </c>
      <c r="F1567" s="114" t="b">
        <v>0</v>
      </c>
      <c r="G1567" s="114" t="b">
        <v>0</v>
      </c>
    </row>
    <row r="1568" spans="1:7" ht="15">
      <c r="A1568" s="114" t="s">
        <v>1952</v>
      </c>
      <c r="B1568" s="114">
        <v>4</v>
      </c>
      <c r="C1568" s="116">
        <v>0.008043462106114257</v>
      </c>
      <c r="D1568" s="114" t="s">
        <v>1713</v>
      </c>
      <c r="E1568" s="114" t="b">
        <v>0</v>
      </c>
      <c r="F1568" s="114" t="b">
        <v>0</v>
      </c>
      <c r="G1568" s="114" t="b">
        <v>0</v>
      </c>
    </row>
    <row r="1569" spans="1:7" ht="15">
      <c r="A1569" s="114" t="s">
        <v>2116</v>
      </c>
      <c r="B1569" s="114">
        <v>4</v>
      </c>
      <c r="C1569" s="116">
        <v>0.008043462106114257</v>
      </c>
      <c r="D1569" s="114" t="s">
        <v>1713</v>
      </c>
      <c r="E1569" s="114" t="b">
        <v>0</v>
      </c>
      <c r="F1569" s="114" t="b">
        <v>0</v>
      </c>
      <c r="G1569" s="114" t="b">
        <v>0</v>
      </c>
    </row>
    <row r="1570" spans="1:7" ht="15">
      <c r="A1570" s="114" t="s">
        <v>2117</v>
      </c>
      <c r="B1570" s="114">
        <v>4</v>
      </c>
      <c r="C1570" s="116">
        <v>0.008043462106114257</v>
      </c>
      <c r="D1570" s="114" t="s">
        <v>1713</v>
      </c>
      <c r="E1570" s="114" t="b">
        <v>0</v>
      </c>
      <c r="F1570" s="114" t="b">
        <v>0</v>
      </c>
      <c r="G1570" s="114" t="b">
        <v>0</v>
      </c>
    </row>
    <row r="1571" spans="1:7" ht="15">
      <c r="A1571" s="114" t="s">
        <v>1925</v>
      </c>
      <c r="B1571" s="114">
        <v>4</v>
      </c>
      <c r="C1571" s="116">
        <v>0.008043462106114257</v>
      </c>
      <c r="D1571" s="114" t="s">
        <v>1713</v>
      </c>
      <c r="E1571" s="114" t="b">
        <v>0</v>
      </c>
      <c r="F1571" s="114" t="b">
        <v>0</v>
      </c>
      <c r="G1571" s="114" t="b">
        <v>0</v>
      </c>
    </row>
    <row r="1572" spans="1:7" ht="15">
      <c r="A1572" s="114" t="s">
        <v>1926</v>
      </c>
      <c r="B1572" s="114">
        <v>4</v>
      </c>
      <c r="C1572" s="116">
        <v>0.008043462106114257</v>
      </c>
      <c r="D1572" s="114" t="s">
        <v>1713</v>
      </c>
      <c r="E1572" s="114" t="b">
        <v>0</v>
      </c>
      <c r="F1572" s="114" t="b">
        <v>0</v>
      </c>
      <c r="G1572" s="114" t="b">
        <v>0</v>
      </c>
    </row>
    <row r="1573" spans="1:7" ht="15">
      <c r="A1573" s="114" t="s">
        <v>2115</v>
      </c>
      <c r="B1573" s="114">
        <v>4</v>
      </c>
      <c r="C1573" s="116">
        <v>0.008043462106114257</v>
      </c>
      <c r="D1573" s="114" t="s">
        <v>1713</v>
      </c>
      <c r="E1573" s="114" t="b">
        <v>0</v>
      </c>
      <c r="F1573" s="114" t="b">
        <v>0</v>
      </c>
      <c r="G1573" s="114" t="b">
        <v>0</v>
      </c>
    </row>
    <row r="1574" spans="1:7" ht="15">
      <c r="A1574" s="114" t="s">
        <v>2113</v>
      </c>
      <c r="B1574" s="114">
        <v>4</v>
      </c>
      <c r="C1574" s="116">
        <v>0.008043462106114257</v>
      </c>
      <c r="D1574" s="114" t="s">
        <v>1713</v>
      </c>
      <c r="E1574" s="114" t="b">
        <v>0</v>
      </c>
      <c r="F1574" s="114" t="b">
        <v>0</v>
      </c>
      <c r="G1574" s="114" t="b">
        <v>0</v>
      </c>
    </row>
    <row r="1575" spans="1:7" ht="15">
      <c r="A1575" s="114" t="s">
        <v>2114</v>
      </c>
      <c r="B1575" s="114">
        <v>4</v>
      </c>
      <c r="C1575" s="116">
        <v>0.008043462106114257</v>
      </c>
      <c r="D1575" s="114" t="s">
        <v>1713</v>
      </c>
      <c r="E1575" s="114" t="b">
        <v>0</v>
      </c>
      <c r="F1575" s="114" t="b">
        <v>0</v>
      </c>
      <c r="G1575" s="114" t="b">
        <v>0</v>
      </c>
    </row>
    <row r="1576" spans="1:7" ht="15">
      <c r="A1576" s="114" t="s">
        <v>2110</v>
      </c>
      <c r="B1576" s="114">
        <v>4</v>
      </c>
      <c r="C1576" s="116">
        <v>0.0061823802163833074</v>
      </c>
      <c r="D1576" s="114" t="s">
        <v>1713</v>
      </c>
      <c r="E1576" s="114" t="b">
        <v>0</v>
      </c>
      <c r="F1576" s="114" t="b">
        <v>0</v>
      </c>
      <c r="G1576" s="114" t="b">
        <v>0</v>
      </c>
    </row>
    <row r="1577" spans="1:7" ht="15">
      <c r="A1577" s="114" t="s">
        <v>2111</v>
      </c>
      <c r="B1577" s="114">
        <v>4</v>
      </c>
      <c r="C1577" s="116">
        <v>0.008043462106114257</v>
      </c>
      <c r="D1577" s="114" t="s">
        <v>1713</v>
      </c>
      <c r="E1577" s="114" t="b">
        <v>0</v>
      </c>
      <c r="F1577" s="114" t="b">
        <v>0</v>
      </c>
      <c r="G1577" s="114" t="b">
        <v>0</v>
      </c>
    </row>
    <row r="1578" spans="1:7" ht="15">
      <c r="A1578" s="114" t="s">
        <v>1980</v>
      </c>
      <c r="B1578" s="114">
        <v>4</v>
      </c>
      <c r="C1578" s="116">
        <v>0.008043462106114257</v>
      </c>
      <c r="D1578" s="114" t="s">
        <v>1713</v>
      </c>
      <c r="E1578" s="114" t="b">
        <v>0</v>
      </c>
      <c r="F1578" s="114" t="b">
        <v>0</v>
      </c>
      <c r="G1578" s="114" t="b">
        <v>0</v>
      </c>
    </row>
    <row r="1579" spans="1:7" ht="15">
      <c r="A1579" s="114" t="s">
        <v>1785</v>
      </c>
      <c r="B1579" s="114">
        <v>3</v>
      </c>
      <c r="C1579" s="116">
        <v>0.003820287825089577</v>
      </c>
      <c r="D1579" s="114" t="s">
        <v>1713</v>
      </c>
      <c r="E1579" s="114" t="b">
        <v>0</v>
      </c>
      <c r="F1579" s="114" t="b">
        <v>0</v>
      </c>
      <c r="G1579" s="114" t="b">
        <v>0</v>
      </c>
    </row>
    <row r="1580" spans="1:7" ht="15">
      <c r="A1580" s="114" t="s">
        <v>1766</v>
      </c>
      <c r="B1580" s="114">
        <v>3</v>
      </c>
      <c r="C1580" s="116">
        <v>0.003820287825089577</v>
      </c>
      <c r="D1580" s="114" t="s">
        <v>1713</v>
      </c>
      <c r="E1580" s="114" t="b">
        <v>0</v>
      </c>
      <c r="F1580" s="114" t="b">
        <v>1</v>
      </c>
      <c r="G1580" s="114" t="b">
        <v>0</v>
      </c>
    </row>
    <row r="1581" spans="1:7" ht="15">
      <c r="A1581" s="114" t="s">
        <v>1741</v>
      </c>
      <c r="B1581" s="114">
        <v>3</v>
      </c>
      <c r="C1581" s="116">
        <v>0.003820287825089577</v>
      </c>
      <c r="D1581" s="114" t="s">
        <v>1713</v>
      </c>
      <c r="E1581" s="114" t="b">
        <v>0</v>
      </c>
      <c r="F1581" s="114" t="b">
        <v>0</v>
      </c>
      <c r="G1581" s="114" t="b">
        <v>0</v>
      </c>
    </row>
    <row r="1582" spans="1:7" ht="15">
      <c r="A1582" s="114" t="s">
        <v>1743</v>
      </c>
      <c r="B1582" s="114">
        <v>3</v>
      </c>
      <c r="C1582" s="116">
        <v>0.003820287825089577</v>
      </c>
      <c r="D1582" s="114" t="s">
        <v>1713</v>
      </c>
      <c r="E1582" s="114" t="b">
        <v>0</v>
      </c>
      <c r="F1582" s="114" t="b">
        <v>0</v>
      </c>
      <c r="G1582" s="114" t="b">
        <v>0</v>
      </c>
    </row>
    <row r="1583" spans="1:7" ht="15">
      <c r="A1583" s="114" t="s">
        <v>1877</v>
      </c>
      <c r="B1583" s="114">
        <v>3</v>
      </c>
      <c r="C1583" s="116">
        <v>0.003820287825089577</v>
      </c>
      <c r="D1583" s="114" t="s">
        <v>1713</v>
      </c>
      <c r="E1583" s="114" t="b">
        <v>0</v>
      </c>
      <c r="F1583" s="114" t="b">
        <v>0</v>
      </c>
      <c r="G1583" s="114" t="b">
        <v>0</v>
      </c>
    </row>
    <row r="1584" spans="1:7" ht="15">
      <c r="A1584" s="114" t="s">
        <v>1947</v>
      </c>
      <c r="B1584" s="114">
        <v>3</v>
      </c>
      <c r="C1584" s="116">
        <v>0.006032596579585693</v>
      </c>
      <c r="D1584" s="114" t="s">
        <v>1713</v>
      </c>
      <c r="E1584" s="114" t="b">
        <v>0</v>
      </c>
      <c r="F1584" s="114" t="b">
        <v>0</v>
      </c>
      <c r="G1584" s="114" t="b">
        <v>0</v>
      </c>
    </row>
    <row r="1585" spans="1:7" ht="15">
      <c r="A1585" s="114" t="s">
        <v>1827</v>
      </c>
      <c r="B1585" s="114">
        <v>3</v>
      </c>
      <c r="C1585" s="116">
        <v>0.006032596579585693</v>
      </c>
      <c r="D1585" s="114" t="s">
        <v>1713</v>
      </c>
      <c r="E1585" s="114" t="b">
        <v>0</v>
      </c>
      <c r="F1585" s="114" t="b">
        <v>0</v>
      </c>
      <c r="G1585" s="114" t="b">
        <v>0</v>
      </c>
    </row>
    <row r="1586" spans="1:7" ht="15">
      <c r="A1586" s="114" t="s">
        <v>1770</v>
      </c>
      <c r="B1586" s="114">
        <v>3</v>
      </c>
      <c r="C1586" s="116">
        <v>0.006032596579585693</v>
      </c>
      <c r="D1586" s="114" t="s">
        <v>1713</v>
      </c>
      <c r="E1586" s="114" t="b">
        <v>0</v>
      </c>
      <c r="F1586" s="114" t="b">
        <v>0</v>
      </c>
      <c r="G1586" s="114" t="b">
        <v>0</v>
      </c>
    </row>
    <row r="1587" spans="1:7" ht="15">
      <c r="A1587" s="114" t="s">
        <v>2262</v>
      </c>
      <c r="B1587" s="114">
        <v>3</v>
      </c>
      <c r="C1587" s="116">
        <v>0.006032596579585693</v>
      </c>
      <c r="D1587" s="114" t="s">
        <v>1713</v>
      </c>
      <c r="E1587" s="114" t="b">
        <v>0</v>
      </c>
      <c r="F1587" s="114" t="b">
        <v>0</v>
      </c>
      <c r="G1587" s="114" t="b">
        <v>0</v>
      </c>
    </row>
    <row r="1588" spans="1:7" ht="15">
      <c r="A1588" s="114" t="s">
        <v>1895</v>
      </c>
      <c r="B1588" s="114">
        <v>3</v>
      </c>
      <c r="C1588" s="116">
        <v>0.006032596579585693</v>
      </c>
      <c r="D1588" s="114" t="s">
        <v>1713</v>
      </c>
      <c r="E1588" s="114" t="b">
        <v>0</v>
      </c>
      <c r="F1588" s="114" t="b">
        <v>0</v>
      </c>
      <c r="G1588" s="114" t="b">
        <v>0</v>
      </c>
    </row>
    <row r="1589" spans="1:7" ht="15">
      <c r="A1589" s="114" t="s">
        <v>2258</v>
      </c>
      <c r="B1589" s="114">
        <v>3</v>
      </c>
      <c r="C1589" s="116">
        <v>0.006032596579585693</v>
      </c>
      <c r="D1589" s="114" t="s">
        <v>1713</v>
      </c>
      <c r="E1589" s="114" t="b">
        <v>0</v>
      </c>
      <c r="F1589" s="114" t="b">
        <v>0</v>
      </c>
      <c r="G1589" s="114" t="b">
        <v>0</v>
      </c>
    </row>
    <row r="1590" spans="1:7" ht="15">
      <c r="A1590" s="114" t="s">
        <v>2259</v>
      </c>
      <c r="B1590" s="114">
        <v>3</v>
      </c>
      <c r="C1590" s="116">
        <v>0.006032596579585693</v>
      </c>
      <c r="D1590" s="114" t="s">
        <v>1713</v>
      </c>
      <c r="E1590" s="114" t="b">
        <v>0</v>
      </c>
      <c r="F1590" s="114" t="b">
        <v>0</v>
      </c>
      <c r="G1590" s="114" t="b">
        <v>0</v>
      </c>
    </row>
    <row r="1591" spans="1:7" ht="15">
      <c r="A1591" s="114" t="s">
        <v>1843</v>
      </c>
      <c r="B1591" s="114">
        <v>3</v>
      </c>
      <c r="C1591" s="116">
        <v>0.006032596579585693</v>
      </c>
      <c r="D1591" s="114" t="s">
        <v>1713</v>
      </c>
      <c r="E1591" s="114" t="b">
        <v>0</v>
      </c>
      <c r="F1591" s="114" t="b">
        <v>0</v>
      </c>
      <c r="G1591" s="114" t="b">
        <v>0</v>
      </c>
    </row>
    <row r="1592" spans="1:7" ht="15">
      <c r="A1592" s="114" t="s">
        <v>2260</v>
      </c>
      <c r="B1592" s="114">
        <v>3</v>
      </c>
      <c r="C1592" s="116">
        <v>0.006032596579585693</v>
      </c>
      <c r="D1592" s="114" t="s">
        <v>1713</v>
      </c>
      <c r="E1592" s="114" t="b">
        <v>0</v>
      </c>
      <c r="F1592" s="114" t="b">
        <v>0</v>
      </c>
      <c r="G1592" s="114" t="b">
        <v>0</v>
      </c>
    </row>
    <row r="1593" spans="1:7" ht="15">
      <c r="A1593" s="114" t="s">
        <v>2261</v>
      </c>
      <c r="B1593" s="114">
        <v>3</v>
      </c>
      <c r="C1593" s="116">
        <v>0.006032596579585693</v>
      </c>
      <c r="D1593" s="114" t="s">
        <v>1713</v>
      </c>
      <c r="E1593" s="114" t="b">
        <v>0</v>
      </c>
      <c r="F1593" s="114" t="b">
        <v>1</v>
      </c>
      <c r="G1593" s="114" t="b">
        <v>0</v>
      </c>
    </row>
    <row r="1594" spans="1:7" ht="15">
      <c r="A1594" s="114" t="s">
        <v>2096</v>
      </c>
      <c r="B1594" s="114">
        <v>3</v>
      </c>
      <c r="C1594" s="116">
        <v>0.006032596579585693</v>
      </c>
      <c r="D1594" s="114" t="s">
        <v>1713</v>
      </c>
      <c r="E1594" s="114" t="b">
        <v>1</v>
      </c>
      <c r="F1594" s="114" t="b">
        <v>0</v>
      </c>
      <c r="G1594" s="114" t="b">
        <v>0</v>
      </c>
    </row>
    <row r="1595" spans="1:7" ht="15">
      <c r="A1595" s="114" t="s">
        <v>1801</v>
      </c>
      <c r="B1595" s="114">
        <v>3</v>
      </c>
      <c r="C1595" s="116">
        <v>0.003820287825089577</v>
      </c>
      <c r="D1595" s="114" t="s">
        <v>1713</v>
      </c>
      <c r="E1595" s="114" t="b">
        <v>0</v>
      </c>
      <c r="F1595" s="114" t="b">
        <v>0</v>
      </c>
      <c r="G1595" s="114" t="b">
        <v>0</v>
      </c>
    </row>
    <row r="1596" spans="1:7" ht="15">
      <c r="A1596" s="114" t="s">
        <v>2255</v>
      </c>
      <c r="B1596" s="114">
        <v>3</v>
      </c>
      <c r="C1596" s="116">
        <v>0.006032596579585693</v>
      </c>
      <c r="D1596" s="114" t="s">
        <v>1713</v>
      </c>
      <c r="E1596" s="114" t="b">
        <v>0</v>
      </c>
      <c r="F1596" s="114" t="b">
        <v>0</v>
      </c>
      <c r="G1596" s="114" t="b">
        <v>0</v>
      </c>
    </row>
    <row r="1597" spans="1:7" ht="15">
      <c r="A1597" s="114" t="s">
        <v>2256</v>
      </c>
      <c r="B1597" s="114">
        <v>3</v>
      </c>
      <c r="C1597" s="116">
        <v>0.006032596579585693</v>
      </c>
      <c r="D1597" s="114" t="s">
        <v>1713</v>
      </c>
      <c r="E1597" s="114" t="b">
        <v>0</v>
      </c>
      <c r="F1597" s="114" t="b">
        <v>0</v>
      </c>
      <c r="G1597" s="114" t="b">
        <v>0</v>
      </c>
    </row>
    <row r="1598" spans="1:7" ht="15">
      <c r="A1598" s="114" t="s">
        <v>2257</v>
      </c>
      <c r="B1598" s="114">
        <v>3</v>
      </c>
      <c r="C1598" s="116">
        <v>0.006032596579585693</v>
      </c>
      <c r="D1598" s="114" t="s">
        <v>1713</v>
      </c>
      <c r="E1598" s="114" t="b">
        <v>0</v>
      </c>
      <c r="F1598" s="114" t="b">
        <v>0</v>
      </c>
      <c r="G1598" s="114" t="b">
        <v>0</v>
      </c>
    </row>
    <row r="1599" spans="1:7" ht="15">
      <c r="A1599" s="114" t="s">
        <v>1880</v>
      </c>
      <c r="B1599" s="114">
        <v>3</v>
      </c>
      <c r="C1599" s="116">
        <v>0.003820287825089577</v>
      </c>
      <c r="D1599" s="114" t="s">
        <v>1713</v>
      </c>
      <c r="E1599" s="114" t="b">
        <v>0</v>
      </c>
      <c r="F1599" s="114" t="b">
        <v>0</v>
      </c>
      <c r="G1599" s="114" t="b">
        <v>0</v>
      </c>
    </row>
    <row r="1600" spans="1:7" ht="15">
      <c r="A1600" s="114" t="s">
        <v>2254</v>
      </c>
      <c r="B1600" s="114">
        <v>3</v>
      </c>
      <c r="C1600" s="116">
        <v>0.003820287825089577</v>
      </c>
      <c r="D1600" s="114" t="s">
        <v>1713</v>
      </c>
      <c r="E1600" s="114" t="b">
        <v>0</v>
      </c>
      <c r="F1600" s="114" t="b">
        <v>0</v>
      </c>
      <c r="G1600" s="114" t="b">
        <v>0</v>
      </c>
    </row>
    <row r="1601" spans="1:7" ht="15">
      <c r="A1601" s="114" t="s">
        <v>1891</v>
      </c>
      <c r="B1601" s="114">
        <v>3</v>
      </c>
      <c r="C1601" s="116">
        <v>0.006032596579585693</v>
      </c>
      <c r="D1601" s="114" t="s">
        <v>1713</v>
      </c>
      <c r="E1601" s="114" t="b">
        <v>0</v>
      </c>
      <c r="F1601" s="114" t="b">
        <v>0</v>
      </c>
      <c r="G1601" s="114" t="b">
        <v>0</v>
      </c>
    </row>
    <row r="1602" spans="1:7" ht="15">
      <c r="A1602" s="114" t="s">
        <v>1746</v>
      </c>
      <c r="B1602" s="114">
        <v>3</v>
      </c>
      <c r="C1602" s="116">
        <v>0.006032596579585693</v>
      </c>
      <c r="D1602" s="114" t="s">
        <v>1713</v>
      </c>
      <c r="E1602" s="114" t="b">
        <v>0</v>
      </c>
      <c r="F1602" s="114" t="b">
        <v>1</v>
      </c>
      <c r="G1602" s="114" t="b">
        <v>0</v>
      </c>
    </row>
    <row r="1603" spans="1:7" ht="15">
      <c r="A1603" s="114" t="s">
        <v>2253</v>
      </c>
      <c r="B1603" s="114">
        <v>3</v>
      </c>
      <c r="C1603" s="116">
        <v>0.006032596579585693</v>
      </c>
      <c r="D1603" s="114" t="s">
        <v>1713</v>
      </c>
      <c r="E1603" s="114" t="b">
        <v>0</v>
      </c>
      <c r="F1603" s="114" t="b">
        <v>0</v>
      </c>
      <c r="G1603" s="114" t="b">
        <v>0</v>
      </c>
    </row>
    <row r="1604" spans="1:7" ht="15">
      <c r="A1604" s="114" t="s">
        <v>2519</v>
      </c>
      <c r="B1604" s="114">
        <v>2</v>
      </c>
      <c r="C1604" s="116">
        <v>0.0030911901081916537</v>
      </c>
      <c r="D1604" s="114" t="s">
        <v>1713</v>
      </c>
      <c r="E1604" s="114" t="b">
        <v>0</v>
      </c>
      <c r="F1604" s="114" t="b">
        <v>0</v>
      </c>
      <c r="G1604" s="114" t="b">
        <v>0</v>
      </c>
    </row>
    <row r="1605" spans="1:7" ht="15">
      <c r="A1605" s="114" t="s">
        <v>1789</v>
      </c>
      <c r="B1605" s="114">
        <v>2</v>
      </c>
      <c r="C1605" s="116">
        <v>0.0030911901081916537</v>
      </c>
      <c r="D1605" s="114" t="s">
        <v>1713</v>
      </c>
      <c r="E1605" s="114" t="b">
        <v>0</v>
      </c>
      <c r="F1605" s="114" t="b">
        <v>0</v>
      </c>
      <c r="G1605" s="114" t="b">
        <v>0</v>
      </c>
    </row>
    <row r="1606" spans="1:7" ht="15">
      <c r="A1606" s="114" t="s">
        <v>1956</v>
      </c>
      <c r="B1606" s="114">
        <v>2</v>
      </c>
      <c r="C1606" s="116">
        <v>0.0030911901081916537</v>
      </c>
      <c r="D1606" s="114" t="s">
        <v>1713</v>
      </c>
      <c r="E1606" s="114" t="b">
        <v>0</v>
      </c>
      <c r="F1606" s="114" t="b">
        <v>0</v>
      </c>
      <c r="G1606" s="114" t="b">
        <v>0</v>
      </c>
    </row>
    <row r="1607" spans="1:7" ht="15">
      <c r="A1607" s="114" t="s">
        <v>2039</v>
      </c>
      <c r="B1607" s="114">
        <v>2</v>
      </c>
      <c r="C1607" s="116">
        <v>0.0030911901081916537</v>
      </c>
      <c r="D1607" s="114" t="s">
        <v>1713</v>
      </c>
      <c r="E1607" s="114" t="b">
        <v>0</v>
      </c>
      <c r="F1607" s="114" t="b">
        <v>0</v>
      </c>
      <c r="G1607" s="114" t="b">
        <v>0</v>
      </c>
    </row>
    <row r="1608" spans="1:7" ht="15">
      <c r="A1608" s="114" t="s">
        <v>1748</v>
      </c>
      <c r="B1608" s="114">
        <v>2</v>
      </c>
      <c r="C1608" s="116">
        <v>0.0030911901081916537</v>
      </c>
      <c r="D1608" s="114" t="s">
        <v>1713</v>
      </c>
      <c r="E1608" s="114" t="b">
        <v>0</v>
      </c>
      <c r="F1608" s="114" t="b">
        <v>0</v>
      </c>
      <c r="G1608" s="114" t="b">
        <v>0</v>
      </c>
    </row>
    <row r="1609" spans="1:7" ht="15">
      <c r="A1609" s="114" t="s">
        <v>2537</v>
      </c>
      <c r="B1609" s="114">
        <v>2</v>
      </c>
      <c r="C1609" s="116">
        <v>0.004021731053057129</v>
      </c>
      <c r="D1609" s="114" t="s">
        <v>1713</v>
      </c>
      <c r="E1609" s="114" t="b">
        <v>0</v>
      </c>
      <c r="F1609" s="114" t="b">
        <v>0</v>
      </c>
      <c r="G1609" s="114" t="b">
        <v>0</v>
      </c>
    </row>
    <row r="1610" spans="1:7" ht="15">
      <c r="A1610" s="114" t="s">
        <v>1819</v>
      </c>
      <c r="B1610" s="114">
        <v>2</v>
      </c>
      <c r="C1610" s="116">
        <v>0.0030911901081916537</v>
      </c>
      <c r="D1610" s="114" t="s">
        <v>1713</v>
      </c>
      <c r="E1610" s="114" t="b">
        <v>0</v>
      </c>
      <c r="F1610" s="114" t="b">
        <v>0</v>
      </c>
      <c r="G1610" s="114" t="b">
        <v>0</v>
      </c>
    </row>
    <row r="1611" spans="1:7" ht="15">
      <c r="A1611" s="114" t="s">
        <v>1840</v>
      </c>
      <c r="B1611" s="114">
        <v>2</v>
      </c>
      <c r="C1611" s="116">
        <v>0.0030911901081916537</v>
      </c>
      <c r="D1611" s="114" t="s">
        <v>1713</v>
      </c>
      <c r="E1611" s="114" t="b">
        <v>0</v>
      </c>
      <c r="F1611" s="114" t="b">
        <v>0</v>
      </c>
      <c r="G1611" s="114" t="b">
        <v>0</v>
      </c>
    </row>
    <row r="1612" spans="1:7" ht="15">
      <c r="A1612" s="114" t="s">
        <v>1775</v>
      </c>
      <c r="B1612" s="114">
        <v>2</v>
      </c>
      <c r="C1612" s="116">
        <v>0.0030911901081916537</v>
      </c>
      <c r="D1612" s="114" t="s">
        <v>1713</v>
      </c>
      <c r="E1612" s="114" t="b">
        <v>0</v>
      </c>
      <c r="F1612" s="114" t="b">
        <v>0</v>
      </c>
      <c r="G1612" s="114" t="b">
        <v>0</v>
      </c>
    </row>
    <row r="1613" spans="1:7" ht="15">
      <c r="A1613" s="114" t="s">
        <v>2011</v>
      </c>
      <c r="B1613" s="114">
        <v>2</v>
      </c>
      <c r="C1613" s="116">
        <v>0.004021731053057129</v>
      </c>
      <c r="D1613" s="114" t="s">
        <v>1713</v>
      </c>
      <c r="E1613" s="114" t="b">
        <v>0</v>
      </c>
      <c r="F1613" s="114" t="b">
        <v>0</v>
      </c>
      <c r="G1613" s="114" t="b">
        <v>0</v>
      </c>
    </row>
    <row r="1614" spans="1:7" ht="15">
      <c r="A1614" s="114" t="s">
        <v>2536</v>
      </c>
      <c r="B1614" s="114">
        <v>2</v>
      </c>
      <c r="C1614" s="116">
        <v>0.004021731053057129</v>
      </c>
      <c r="D1614" s="114" t="s">
        <v>1713</v>
      </c>
      <c r="E1614" s="114" t="b">
        <v>0</v>
      </c>
      <c r="F1614" s="114" t="b">
        <v>0</v>
      </c>
      <c r="G1614" s="114" t="b">
        <v>0</v>
      </c>
    </row>
    <row r="1615" spans="1:7" ht="15">
      <c r="A1615" s="114" t="s">
        <v>1782</v>
      </c>
      <c r="B1615" s="114">
        <v>2</v>
      </c>
      <c r="C1615" s="116">
        <v>0.0030911901081916537</v>
      </c>
      <c r="D1615" s="114" t="s">
        <v>1713</v>
      </c>
      <c r="E1615" s="114" t="b">
        <v>0</v>
      </c>
      <c r="F1615" s="114" t="b">
        <v>0</v>
      </c>
      <c r="G1615" s="114" t="b">
        <v>0</v>
      </c>
    </row>
    <row r="1616" spans="1:7" ht="15">
      <c r="A1616" s="114" t="s">
        <v>2067</v>
      </c>
      <c r="B1616" s="114">
        <v>2</v>
      </c>
      <c r="C1616" s="116">
        <v>0.0030911901081916537</v>
      </c>
      <c r="D1616" s="114" t="s">
        <v>1713</v>
      </c>
      <c r="E1616" s="114" t="b">
        <v>0</v>
      </c>
      <c r="F1616" s="114" t="b">
        <v>0</v>
      </c>
      <c r="G1616" s="114" t="b">
        <v>0</v>
      </c>
    </row>
    <row r="1617" spans="1:7" ht="15">
      <c r="A1617" s="114" t="s">
        <v>1774</v>
      </c>
      <c r="B1617" s="114">
        <v>2</v>
      </c>
      <c r="C1617" s="116">
        <v>0.004021731053057129</v>
      </c>
      <c r="D1617" s="114" t="s">
        <v>1713</v>
      </c>
      <c r="E1617" s="114" t="b">
        <v>0</v>
      </c>
      <c r="F1617" s="114" t="b">
        <v>1</v>
      </c>
      <c r="G1617" s="114" t="b">
        <v>0</v>
      </c>
    </row>
    <row r="1618" spans="1:7" ht="15">
      <c r="A1618" s="114" t="s">
        <v>2240</v>
      </c>
      <c r="B1618" s="114">
        <v>2</v>
      </c>
      <c r="C1618" s="116">
        <v>0.004021731053057129</v>
      </c>
      <c r="D1618" s="114" t="s">
        <v>1713</v>
      </c>
      <c r="E1618" s="114" t="b">
        <v>0</v>
      </c>
      <c r="F1618" s="114" t="b">
        <v>0</v>
      </c>
      <c r="G1618" s="114" t="b">
        <v>0</v>
      </c>
    </row>
    <row r="1619" spans="1:7" ht="15">
      <c r="A1619" s="114" t="s">
        <v>1944</v>
      </c>
      <c r="B1619" s="114">
        <v>2</v>
      </c>
      <c r="C1619" s="116">
        <v>0.004021731053057129</v>
      </c>
      <c r="D1619" s="114" t="s">
        <v>1713</v>
      </c>
      <c r="E1619" s="114" t="b">
        <v>0</v>
      </c>
      <c r="F1619" s="114" t="b">
        <v>0</v>
      </c>
      <c r="G1619" s="114" t="b">
        <v>0</v>
      </c>
    </row>
    <row r="1620" spans="1:7" ht="15">
      <c r="A1620" s="114" t="s">
        <v>1879</v>
      </c>
      <c r="B1620" s="114">
        <v>2</v>
      </c>
      <c r="C1620" s="116">
        <v>0.004021731053057129</v>
      </c>
      <c r="D1620" s="114" t="s">
        <v>1713</v>
      </c>
      <c r="E1620" s="114" t="b">
        <v>0</v>
      </c>
      <c r="F1620" s="114" t="b">
        <v>0</v>
      </c>
      <c r="G1620" s="114" t="b">
        <v>0</v>
      </c>
    </row>
    <row r="1621" spans="1:7" ht="15">
      <c r="A1621" s="114" t="s">
        <v>1881</v>
      </c>
      <c r="B1621" s="114">
        <v>2</v>
      </c>
      <c r="C1621" s="116">
        <v>0.004021731053057129</v>
      </c>
      <c r="D1621" s="114" t="s">
        <v>1713</v>
      </c>
      <c r="E1621" s="114" t="b">
        <v>0</v>
      </c>
      <c r="F1621" s="114" t="b">
        <v>0</v>
      </c>
      <c r="G1621" s="114" t="b">
        <v>0</v>
      </c>
    </row>
    <row r="1622" spans="1:7" ht="15">
      <c r="A1622" s="114" t="s">
        <v>2051</v>
      </c>
      <c r="B1622" s="114">
        <v>2</v>
      </c>
      <c r="C1622" s="116">
        <v>0.004021731053057129</v>
      </c>
      <c r="D1622" s="114" t="s">
        <v>1713</v>
      </c>
      <c r="E1622" s="114" t="b">
        <v>0</v>
      </c>
      <c r="F1622" s="114" t="b">
        <v>0</v>
      </c>
      <c r="G1622" s="114" t="b">
        <v>0</v>
      </c>
    </row>
    <row r="1623" spans="1:7" ht="15">
      <c r="A1623" s="114" t="s">
        <v>2522</v>
      </c>
      <c r="B1623" s="114">
        <v>2</v>
      </c>
      <c r="C1623" s="116">
        <v>0.0030911901081916537</v>
      </c>
      <c r="D1623" s="114" t="s">
        <v>1713</v>
      </c>
      <c r="E1623" s="114" t="b">
        <v>0</v>
      </c>
      <c r="F1623" s="114" t="b">
        <v>0</v>
      </c>
      <c r="G1623" s="114" t="b">
        <v>0</v>
      </c>
    </row>
    <row r="1624" spans="1:7" ht="15">
      <c r="A1624" s="114" t="s">
        <v>2534</v>
      </c>
      <c r="B1624" s="114">
        <v>2</v>
      </c>
      <c r="C1624" s="116">
        <v>0.004021731053057129</v>
      </c>
      <c r="D1624" s="114" t="s">
        <v>1713</v>
      </c>
      <c r="E1624" s="114" t="b">
        <v>0</v>
      </c>
      <c r="F1624" s="114" t="b">
        <v>0</v>
      </c>
      <c r="G1624" s="114" t="b">
        <v>0</v>
      </c>
    </row>
    <row r="1625" spans="1:7" ht="15">
      <c r="A1625" s="114" t="s">
        <v>2535</v>
      </c>
      <c r="B1625" s="114">
        <v>2</v>
      </c>
      <c r="C1625" s="116">
        <v>0.004021731053057129</v>
      </c>
      <c r="D1625" s="114" t="s">
        <v>1713</v>
      </c>
      <c r="E1625" s="114" t="b">
        <v>0</v>
      </c>
      <c r="F1625" s="114" t="b">
        <v>0</v>
      </c>
      <c r="G1625" s="114" t="b">
        <v>0</v>
      </c>
    </row>
    <row r="1626" spans="1:7" ht="15">
      <c r="A1626" s="114" t="s">
        <v>2532</v>
      </c>
      <c r="B1626" s="114">
        <v>2</v>
      </c>
      <c r="C1626" s="116">
        <v>0.004021731053057129</v>
      </c>
      <c r="D1626" s="114" t="s">
        <v>1713</v>
      </c>
      <c r="E1626" s="114" t="b">
        <v>0</v>
      </c>
      <c r="F1626" s="114" t="b">
        <v>0</v>
      </c>
      <c r="G1626" s="114" t="b">
        <v>0</v>
      </c>
    </row>
    <row r="1627" spans="1:7" ht="15">
      <c r="A1627" s="114" t="s">
        <v>2533</v>
      </c>
      <c r="B1627" s="114">
        <v>2</v>
      </c>
      <c r="C1627" s="116">
        <v>0.004021731053057129</v>
      </c>
      <c r="D1627" s="114" t="s">
        <v>1713</v>
      </c>
      <c r="E1627" s="114" t="b">
        <v>0</v>
      </c>
      <c r="F1627" s="114" t="b">
        <v>0</v>
      </c>
      <c r="G1627" s="114" t="b">
        <v>0</v>
      </c>
    </row>
    <row r="1628" spans="1:7" ht="15">
      <c r="A1628" s="114" t="s">
        <v>2017</v>
      </c>
      <c r="B1628" s="114">
        <v>2</v>
      </c>
      <c r="C1628" s="116">
        <v>0.004021731053057129</v>
      </c>
      <c r="D1628" s="114" t="s">
        <v>1713</v>
      </c>
      <c r="E1628" s="114" t="b">
        <v>0</v>
      </c>
      <c r="F1628" s="114" t="b">
        <v>0</v>
      </c>
      <c r="G1628" s="114" t="b">
        <v>0</v>
      </c>
    </row>
    <row r="1629" spans="1:7" ht="15">
      <c r="A1629" s="114" t="s">
        <v>2530</v>
      </c>
      <c r="B1629" s="114">
        <v>2</v>
      </c>
      <c r="C1629" s="116">
        <v>0.004021731053057129</v>
      </c>
      <c r="D1629" s="114" t="s">
        <v>1713</v>
      </c>
      <c r="E1629" s="114" t="b">
        <v>0</v>
      </c>
      <c r="F1629" s="114" t="b">
        <v>0</v>
      </c>
      <c r="G1629" s="114" t="b">
        <v>0</v>
      </c>
    </row>
    <row r="1630" spans="1:7" ht="15">
      <c r="A1630" s="114" t="s">
        <v>2531</v>
      </c>
      <c r="B1630" s="114">
        <v>2</v>
      </c>
      <c r="C1630" s="116">
        <v>0.004021731053057129</v>
      </c>
      <c r="D1630" s="114" t="s">
        <v>1713</v>
      </c>
      <c r="E1630" s="114" t="b">
        <v>0</v>
      </c>
      <c r="F1630" s="114" t="b">
        <v>0</v>
      </c>
      <c r="G1630" s="114" t="b">
        <v>0</v>
      </c>
    </row>
    <row r="1631" spans="1:7" ht="15">
      <c r="A1631" s="114" t="s">
        <v>2528</v>
      </c>
      <c r="B1631" s="114">
        <v>2</v>
      </c>
      <c r="C1631" s="116">
        <v>0.004021731053057129</v>
      </c>
      <c r="D1631" s="114" t="s">
        <v>1713</v>
      </c>
      <c r="E1631" s="114" t="b">
        <v>0</v>
      </c>
      <c r="F1631" s="114" t="b">
        <v>0</v>
      </c>
      <c r="G1631" s="114" t="b">
        <v>0</v>
      </c>
    </row>
    <row r="1632" spans="1:7" ht="15">
      <c r="A1632" s="114" t="s">
        <v>2224</v>
      </c>
      <c r="B1632" s="114">
        <v>2</v>
      </c>
      <c r="C1632" s="116">
        <v>0.004021731053057129</v>
      </c>
      <c r="D1632" s="114" t="s">
        <v>1713</v>
      </c>
      <c r="E1632" s="114" t="b">
        <v>0</v>
      </c>
      <c r="F1632" s="114" t="b">
        <v>0</v>
      </c>
      <c r="G1632" s="114" t="b">
        <v>0</v>
      </c>
    </row>
    <row r="1633" spans="1:7" ht="15">
      <c r="A1633" s="114" t="s">
        <v>2529</v>
      </c>
      <c r="B1633" s="114">
        <v>2</v>
      </c>
      <c r="C1633" s="116">
        <v>0.004021731053057129</v>
      </c>
      <c r="D1633" s="114" t="s">
        <v>1713</v>
      </c>
      <c r="E1633" s="114" t="b">
        <v>0</v>
      </c>
      <c r="F1633" s="114" t="b">
        <v>0</v>
      </c>
      <c r="G1633" s="114" t="b">
        <v>0</v>
      </c>
    </row>
    <row r="1634" spans="1:7" ht="15">
      <c r="A1634" s="114" t="s">
        <v>2233</v>
      </c>
      <c r="B1634" s="114">
        <v>2</v>
      </c>
      <c r="C1634" s="116">
        <v>0.0030911901081916537</v>
      </c>
      <c r="D1634" s="114" t="s">
        <v>1713</v>
      </c>
      <c r="E1634" s="114" t="b">
        <v>0</v>
      </c>
      <c r="F1634" s="114" t="b">
        <v>0</v>
      </c>
      <c r="G1634" s="114" t="b">
        <v>0</v>
      </c>
    </row>
    <row r="1635" spans="1:7" ht="15">
      <c r="A1635" s="114" t="s">
        <v>2523</v>
      </c>
      <c r="B1635" s="114">
        <v>2</v>
      </c>
      <c r="C1635" s="116">
        <v>0.0030911901081916537</v>
      </c>
      <c r="D1635" s="114" t="s">
        <v>1713</v>
      </c>
      <c r="E1635" s="114" t="b">
        <v>0</v>
      </c>
      <c r="F1635" s="114" t="b">
        <v>0</v>
      </c>
      <c r="G1635" s="114" t="b">
        <v>0</v>
      </c>
    </row>
    <row r="1636" spans="1:7" ht="15">
      <c r="A1636" s="114" t="s">
        <v>2230</v>
      </c>
      <c r="B1636" s="114">
        <v>2</v>
      </c>
      <c r="C1636" s="116">
        <v>0.0030911901081916537</v>
      </c>
      <c r="D1636" s="114" t="s">
        <v>1713</v>
      </c>
      <c r="E1636" s="114" t="b">
        <v>0</v>
      </c>
      <c r="F1636" s="114" t="b">
        <v>0</v>
      </c>
      <c r="G1636" s="114" t="b">
        <v>0</v>
      </c>
    </row>
    <row r="1637" spans="1:7" ht="15">
      <c r="A1637" s="114" t="s">
        <v>2046</v>
      </c>
      <c r="B1637" s="114">
        <v>2</v>
      </c>
      <c r="C1637" s="116">
        <v>0.0030911901081916537</v>
      </c>
      <c r="D1637" s="114" t="s">
        <v>1713</v>
      </c>
      <c r="E1637" s="114" t="b">
        <v>0</v>
      </c>
      <c r="F1637" s="114" t="b">
        <v>0</v>
      </c>
      <c r="G1637" s="114" t="b">
        <v>0</v>
      </c>
    </row>
    <row r="1638" spans="1:7" ht="15">
      <c r="A1638" s="114" t="s">
        <v>2524</v>
      </c>
      <c r="B1638" s="114">
        <v>2</v>
      </c>
      <c r="C1638" s="116">
        <v>0.0030911901081916537</v>
      </c>
      <c r="D1638" s="114" t="s">
        <v>1713</v>
      </c>
      <c r="E1638" s="114" t="b">
        <v>0</v>
      </c>
      <c r="F1638" s="114" t="b">
        <v>0</v>
      </c>
      <c r="G1638" s="114" t="b">
        <v>0</v>
      </c>
    </row>
    <row r="1639" spans="1:7" ht="15">
      <c r="A1639" s="114" t="s">
        <v>1967</v>
      </c>
      <c r="B1639" s="114">
        <v>2</v>
      </c>
      <c r="C1639" s="116">
        <v>0.0030911901081916537</v>
      </c>
      <c r="D1639" s="114" t="s">
        <v>1713</v>
      </c>
      <c r="E1639" s="114" t="b">
        <v>0</v>
      </c>
      <c r="F1639" s="114" t="b">
        <v>0</v>
      </c>
      <c r="G1639" s="114" t="b">
        <v>0</v>
      </c>
    </row>
    <row r="1640" spans="1:7" ht="15">
      <c r="A1640" s="114" t="s">
        <v>2525</v>
      </c>
      <c r="B1640" s="114">
        <v>2</v>
      </c>
      <c r="C1640" s="116">
        <v>0.0030911901081916537</v>
      </c>
      <c r="D1640" s="114" t="s">
        <v>1713</v>
      </c>
      <c r="E1640" s="114" t="b">
        <v>0</v>
      </c>
      <c r="F1640" s="114" t="b">
        <v>0</v>
      </c>
      <c r="G1640" s="114" t="b">
        <v>0</v>
      </c>
    </row>
    <row r="1641" spans="1:7" ht="15">
      <c r="A1641" s="114" t="s">
        <v>2526</v>
      </c>
      <c r="B1641" s="114">
        <v>2</v>
      </c>
      <c r="C1641" s="116">
        <v>0.0030911901081916537</v>
      </c>
      <c r="D1641" s="114" t="s">
        <v>1713</v>
      </c>
      <c r="E1641" s="114" t="b">
        <v>0</v>
      </c>
      <c r="F1641" s="114" t="b">
        <v>0</v>
      </c>
      <c r="G1641" s="114" t="b">
        <v>0</v>
      </c>
    </row>
    <row r="1642" spans="1:7" ht="15">
      <c r="A1642" s="114" t="s">
        <v>1742</v>
      </c>
      <c r="B1642" s="114">
        <v>2</v>
      </c>
      <c r="C1642" s="116">
        <v>0.0030911901081916537</v>
      </c>
      <c r="D1642" s="114" t="s">
        <v>1713</v>
      </c>
      <c r="E1642" s="114" t="b">
        <v>0</v>
      </c>
      <c r="F1642" s="114" t="b">
        <v>0</v>
      </c>
      <c r="G1642" s="114" t="b">
        <v>0</v>
      </c>
    </row>
    <row r="1643" spans="1:7" ht="15">
      <c r="A1643" s="114" t="s">
        <v>1778</v>
      </c>
      <c r="B1643" s="114">
        <v>2</v>
      </c>
      <c r="C1643" s="116">
        <v>0.004021731053057129</v>
      </c>
      <c r="D1643" s="114" t="s">
        <v>1713</v>
      </c>
      <c r="E1643" s="114" t="b">
        <v>0</v>
      </c>
      <c r="F1643" s="114" t="b">
        <v>0</v>
      </c>
      <c r="G1643" s="114" t="b">
        <v>0</v>
      </c>
    </row>
    <row r="1644" spans="1:7" ht="15">
      <c r="A1644" s="114" t="s">
        <v>2527</v>
      </c>
      <c r="B1644" s="114">
        <v>2</v>
      </c>
      <c r="C1644" s="116">
        <v>0.004021731053057129</v>
      </c>
      <c r="D1644" s="114" t="s">
        <v>1713</v>
      </c>
      <c r="E1644" s="114" t="b">
        <v>0</v>
      </c>
      <c r="F1644" s="114" t="b">
        <v>0</v>
      </c>
      <c r="G1644" s="114" t="b">
        <v>0</v>
      </c>
    </row>
    <row r="1645" spans="1:7" ht="15">
      <c r="A1645" s="114" t="s">
        <v>2249</v>
      </c>
      <c r="B1645" s="114">
        <v>2</v>
      </c>
      <c r="C1645" s="116">
        <v>0.004021731053057129</v>
      </c>
      <c r="D1645" s="114" t="s">
        <v>1713</v>
      </c>
      <c r="E1645" s="114" t="b">
        <v>0</v>
      </c>
      <c r="F1645" s="114" t="b">
        <v>0</v>
      </c>
      <c r="G1645" s="114" t="b">
        <v>0</v>
      </c>
    </row>
    <row r="1646" spans="1:7" ht="15">
      <c r="A1646" s="114" t="s">
        <v>1812</v>
      </c>
      <c r="B1646" s="114">
        <v>2</v>
      </c>
      <c r="C1646" s="116">
        <v>0.0030911901081916537</v>
      </c>
      <c r="D1646" s="114" t="s">
        <v>1713</v>
      </c>
      <c r="E1646" s="114" t="b">
        <v>0</v>
      </c>
      <c r="F1646" s="114" t="b">
        <v>0</v>
      </c>
      <c r="G1646" s="114" t="b">
        <v>0</v>
      </c>
    </row>
    <row r="1647" spans="1:7" ht="15">
      <c r="A1647" s="114" t="s">
        <v>2520</v>
      </c>
      <c r="B1647" s="114">
        <v>2</v>
      </c>
      <c r="C1647" s="116">
        <v>0.004021731053057129</v>
      </c>
      <c r="D1647" s="114" t="s">
        <v>1713</v>
      </c>
      <c r="E1647" s="114" t="b">
        <v>0</v>
      </c>
      <c r="F1647" s="114" t="b">
        <v>0</v>
      </c>
      <c r="G1647" s="114" t="b">
        <v>0</v>
      </c>
    </row>
    <row r="1648" spans="1:7" ht="15">
      <c r="A1648" s="114" t="s">
        <v>2521</v>
      </c>
      <c r="B1648" s="114">
        <v>2</v>
      </c>
      <c r="C1648" s="116">
        <v>0.004021731053057129</v>
      </c>
      <c r="D1648" s="114" t="s">
        <v>1713</v>
      </c>
      <c r="E1648" s="114" t="b">
        <v>0</v>
      </c>
      <c r="F1648" s="114" t="b">
        <v>0</v>
      </c>
      <c r="G1648" s="114" t="b">
        <v>0</v>
      </c>
    </row>
    <row r="1649" spans="1:7" ht="15">
      <c r="A1649" s="114" t="s">
        <v>1742</v>
      </c>
      <c r="B1649" s="114">
        <v>12</v>
      </c>
      <c r="C1649" s="116">
        <v>0.02474219142443681</v>
      </c>
      <c r="D1649" s="114" t="s">
        <v>1714</v>
      </c>
      <c r="E1649" s="114" t="b">
        <v>0</v>
      </c>
      <c r="F1649" s="114" t="b">
        <v>0</v>
      </c>
      <c r="G1649" s="114" t="b">
        <v>0</v>
      </c>
    </row>
    <row r="1650" spans="1:7" ht="15">
      <c r="A1650" s="114" t="s">
        <v>1780</v>
      </c>
      <c r="B1650" s="114">
        <v>7</v>
      </c>
      <c r="C1650" s="116">
        <v>0.028865889995176277</v>
      </c>
      <c r="D1650" s="114" t="s">
        <v>1714</v>
      </c>
      <c r="E1650" s="114" t="b">
        <v>0</v>
      </c>
      <c r="F1650" s="114" t="b">
        <v>0</v>
      </c>
      <c r="G1650" s="114" t="b">
        <v>0</v>
      </c>
    </row>
    <row r="1651" spans="1:7" ht="15">
      <c r="A1651" s="114" t="s">
        <v>1781</v>
      </c>
      <c r="B1651" s="114">
        <v>7</v>
      </c>
      <c r="C1651" s="116">
        <v>0.028865889995176277</v>
      </c>
      <c r="D1651" s="114" t="s">
        <v>1714</v>
      </c>
      <c r="E1651" s="114" t="b">
        <v>0</v>
      </c>
      <c r="F1651" s="114" t="b">
        <v>0</v>
      </c>
      <c r="G1651" s="114" t="b">
        <v>0</v>
      </c>
    </row>
    <row r="1652" spans="1:7" ht="15">
      <c r="A1652" s="114" t="s">
        <v>1798</v>
      </c>
      <c r="B1652" s="114">
        <v>6</v>
      </c>
      <c r="C1652" s="116">
        <v>0.018556643568327605</v>
      </c>
      <c r="D1652" s="114" t="s">
        <v>1714</v>
      </c>
      <c r="E1652" s="114" t="b">
        <v>0</v>
      </c>
      <c r="F1652" s="114" t="b">
        <v>0</v>
      </c>
      <c r="G1652" s="114" t="b">
        <v>0</v>
      </c>
    </row>
    <row r="1653" spans="1:7" ht="15">
      <c r="A1653" s="114" t="s">
        <v>1740</v>
      </c>
      <c r="B1653" s="114">
        <v>6</v>
      </c>
      <c r="C1653" s="116">
        <v>0.012371095712218404</v>
      </c>
      <c r="D1653" s="114" t="s">
        <v>1714</v>
      </c>
      <c r="E1653" s="114" t="b">
        <v>0</v>
      </c>
      <c r="F1653" s="114" t="b">
        <v>0</v>
      </c>
      <c r="G1653" s="114" t="b">
        <v>0</v>
      </c>
    </row>
    <row r="1654" spans="1:7" ht="15">
      <c r="A1654" s="114" t="s">
        <v>1747</v>
      </c>
      <c r="B1654" s="114">
        <v>5</v>
      </c>
      <c r="C1654" s="116">
        <v>0.01030924642684867</v>
      </c>
      <c r="D1654" s="114" t="s">
        <v>1714</v>
      </c>
      <c r="E1654" s="114" t="b">
        <v>0</v>
      </c>
      <c r="F1654" s="114" t="b">
        <v>0</v>
      </c>
      <c r="G1654" s="114" t="b">
        <v>0</v>
      </c>
    </row>
    <row r="1655" spans="1:7" ht="15">
      <c r="A1655" s="114" t="s">
        <v>1945</v>
      </c>
      <c r="B1655" s="114">
        <v>5</v>
      </c>
      <c r="C1655" s="116">
        <v>0.015463869640273005</v>
      </c>
      <c r="D1655" s="114" t="s">
        <v>1714</v>
      </c>
      <c r="E1655" s="114" t="b">
        <v>0</v>
      </c>
      <c r="F1655" s="114" t="b">
        <v>0</v>
      </c>
      <c r="G1655" s="114" t="b">
        <v>0</v>
      </c>
    </row>
    <row r="1656" spans="1:7" ht="15">
      <c r="A1656" s="114" t="s">
        <v>1814</v>
      </c>
      <c r="B1656" s="114">
        <v>5</v>
      </c>
      <c r="C1656" s="116">
        <v>0.015463869640273005</v>
      </c>
      <c r="D1656" s="114" t="s">
        <v>1714</v>
      </c>
      <c r="E1656" s="114" t="b">
        <v>0</v>
      </c>
      <c r="F1656" s="114" t="b">
        <v>0</v>
      </c>
      <c r="G1656" s="114" t="b">
        <v>0</v>
      </c>
    </row>
    <row r="1657" spans="1:7" ht="15">
      <c r="A1657" s="114" t="s">
        <v>2106</v>
      </c>
      <c r="B1657" s="114">
        <v>4</v>
      </c>
      <c r="C1657" s="116">
        <v>0.008247397141478936</v>
      </c>
      <c r="D1657" s="114" t="s">
        <v>1714</v>
      </c>
      <c r="E1657" s="114" t="b">
        <v>0</v>
      </c>
      <c r="F1657" s="114" t="b">
        <v>0</v>
      </c>
      <c r="G1657" s="114" t="b">
        <v>0</v>
      </c>
    </row>
    <row r="1658" spans="1:7" ht="15">
      <c r="A1658" s="114" t="s">
        <v>1817</v>
      </c>
      <c r="B1658" s="114">
        <v>4</v>
      </c>
      <c r="C1658" s="116">
        <v>0.009958886684058386</v>
      </c>
      <c r="D1658" s="114" t="s">
        <v>1714</v>
      </c>
      <c r="E1658" s="114" t="b">
        <v>0</v>
      </c>
      <c r="F1658" s="114" t="b">
        <v>0</v>
      </c>
      <c r="G1658" s="114" t="b">
        <v>0</v>
      </c>
    </row>
    <row r="1659" spans="1:7" ht="15">
      <c r="A1659" s="114" t="s">
        <v>1806</v>
      </c>
      <c r="B1659" s="114">
        <v>4</v>
      </c>
      <c r="C1659" s="116">
        <v>0.016494794282957873</v>
      </c>
      <c r="D1659" s="114" t="s">
        <v>1714</v>
      </c>
      <c r="E1659" s="114" t="b">
        <v>0</v>
      </c>
      <c r="F1659" s="114" t="b">
        <v>0</v>
      </c>
      <c r="G1659" s="114" t="b">
        <v>0</v>
      </c>
    </row>
    <row r="1660" spans="1:7" ht="15">
      <c r="A1660" s="114" t="s">
        <v>1933</v>
      </c>
      <c r="B1660" s="114">
        <v>4</v>
      </c>
      <c r="C1660" s="116">
        <v>0.009958886684058386</v>
      </c>
      <c r="D1660" s="114" t="s">
        <v>1714</v>
      </c>
      <c r="E1660" s="114" t="b">
        <v>0</v>
      </c>
      <c r="F1660" s="114" t="b">
        <v>0</v>
      </c>
      <c r="G1660" s="114" t="b">
        <v>0</v>
      </c>
    </row>
    <row r="1661" spans="1:7" ht="15">
      <c r="A1661" s="114" t="s">
        <v>2108</v>
      </c>
      <c r="B1661" s="114">
        <v>4</v>
      </c>
      <c r="C1661" s="116">
        <v>0.012371095712218404</v>
      </c>
      <c r="D1661" s="114" t="s">
        <v>1714</v>
      </c>
      <c r="E1661" s="114" t="b">
        <v>0</v>
      </c>
      <c r="F1661" s="114" t="b">
        <v>0</v>
      </c>
      <c r="G1661" s="114" t="b">
        <v>0</v>
      </c>
    </row>
    <row r="1662" spans="1:7" ht="15">
      <c r="A1662" s="114" t="s">
        <v>2107</v>
      </c>
      <c r="B1662" s="114">
        <v>4</v>
      </c>
      <c r="C1662" s="116">
        <v>0.016494794282957873</v>
      </c>
      <c r="D1662" s="114" t="s">
        <v>1714</v>
      </c>
      <c r="E1662" s="114" t="b">
        <v>0</v>
      </c>
      <c r="F1662" s="114" t="b">
        <v>0</v>
      </c>
      <c r="G1662" s="114" t="b">
        <v>0</v>
      </c>
    </row>
    <row r="1663" spans="1:7" ht="15">
      <c r="A1663" s="114" t="s">
        <v>2252</v>
      </c>
      <c r="B1663" s="114">
        <v>3</v>
      </c>
      <c r="C1663" s="116">
        <v>0.012371095712218404</v>
      </c>
      <c r="D1663" s="114" t="s">
        <v>1714</v>
      </c>
      <c r="E1663" s="114" t="b">
        <v>0</v>
      </c>
      <c r="F1663" s="114" t="b">
        <v>0</v>
      </c>
      <c r="G1663" s="114" t="b">
        <v>0</v>
      </c>
    </row>
    <row r="1664" spans="1:7" ht="15">
      <c r="A1664" s="114" t="s">
        <v>2099</v>
      </c>
      <c r="B1664" s="114">
        <v>3</v>
      </c>
      <c r="C1664" s="116">
        <v>0.012371095712218404</v>
      </c>
      <c r="D1664" s="114" t="s">
        <v>1714</v>
      </c>
      <c r="E1664" s="114" t="b">
        <v>0</v>
      </c>
      <c r="F1664" s="114" t="b">
        <v>0</v>
      </c>
      <c r="G1664" s="114" t="b">
        <v>0</v>
      </c>
    </row>
    <row r="1665" spans="1:7" ht="15">
      <c r="A1665" s="114" t="s">
        <v>2251</v>
      </c>
      <c r="B1665" s="114">
        <v>3</v>
      </c>
      <c r="C1665" s="116">
        <v>0.012371095712218404</v>
      </c>
      <c r="D1665" s="114" t="s">
        <v>1714</v>
      </c>
      <c r="E1665" s="114" t="b">
        <v>0</v>
      </c>
      <c r="F1665" s="114" t="b">
        <v>0</v>
      </c>
      <c r="G1665" s="114" t="b">
        <v>0</v>
      </c>
    </row>
    <row r="1666" spans="1:7" ht="15">
      <c r="A1666" s="114" t="s">
        <v>1758</v>
      </c>
      <c r="B1666" s="114">
        <v>3</v>
      </c>
      <c r="C1666" s="116">
        <v>0.009278321784163802</v>
      </c>
      <c r="D1666" s="114" t="s">
        <v>1714</v>
      </c>
      <c r="E1666" s="114" t="b">
        <v>0</v>
      </c>
      <c r="F1666" s="114" t="b">
        <v>0</v>
      </c>
      <c r="G1666" s="114" t="b">
        <v>0</v>
      </c>
    </row>
    <row r="1667" spans="1:7" ht="15">
      <c r="A1667" s="114" t="s">
        <v>1830</v>
      </c>
      <c r="B1667" s="114">
        <v>3</v>
      </c>
      <c r="C1667" s="116">
        <v>0.012371095712218404</v>
      </c>
      <c r="D1667" s="114" t="s">
        <v>1714</v>
      </c>
      <c r="E1667" s="114" t="b">
        <v>0</v>
      </c>
      <c r="F1667" s="114" t="b">
        <v>0</v>
      </c>
      <c r="G1667" s="114" t="b">
        <v>0</v>
      </c>
    </row>
    <row r="1668" spans="1:7" ht="15">
      <c r="A1668" s="114" t="s">
        <v>1878</v>
      </c>
      <c r="B1668" s="114">
        <v>2</v>
      </c>
      <c r="C1668" s="116">
        <v>0.008247397141478936</v>
      </c>
      <c r="D1668" s="114" t="s">
        <v>1714</v>
      </c>
      <c r="E1668" s="114" t="b">
        <v>0</v>
      </c>
      <c r="F1668" s="114" t="b">
        <v>0</v>
      </c>
      <c r="G1668" s="114" t="b">
        <v>0</v>
      </c>
    </row>
    <row r="1669" spans="1:7" ht="15">
      <c r="A1669" s="114" t="s">
        <v>1793</v>
      </c>
      <c r="B1669" s="114">
        <v>2</v>
      </c>
      <c r="C1669" s="116">
        <v>0.008247397141478936</v>
      </c>
      <c r="D1669" s="114" t="s">
        <v>1714</v>
      </c>
      <c r="E1669" s="114" t="b">
        <v>0</v>
      </c>
      <c r="F1669" s="114" t="b">
        <v>0</v>
      </c>
      <c r="G1669" s="114" t="b">
        <v>0</v>
      </c>
    </row>
    <row r="1670" spans="1:7" ht="15">
      <c r="A1670" s="114" t="s">
        <v>1838</v>
      </c>
      <c r="B1670" s="114">
        <v>2</v>
      </c>
      <c r="C1670" s="116">
        <v>0.008247397141478936</v>
      </c>
      <c r="D1670" s="114" t="s">
        <v>1714</v>
      </c>
      <c r="E1670" s="114" t="b">
        <v>0</v>
      </c>
      <c r="F1670" s="114" t="b">
        <v>0</v>
      </c>
      <c r="G1670" s="114" t="b">
        <v>0</v>
      </c>
    </row>
    <row r="1671" spans="1:7" ht="15">
      <c r="A1671" s="114" t="s">
        <v>2505</v>
      </c>
      <c r="B1671" s="114">
        <v>2</v>
      </c>
      <c r="C1671" s="116">
        <v>0.006185547856109202</v>
      </c>
      <c r="D1671" s="114" t="s">
        <v>1714</v>
      </c>
      <c r="E1671" s="114" t="b">
        <v>0</v>
      </c>
      <c r="F1671" s="114" t="b">
        <v>0</v>
      </c>
      <c r="G1671" s="114" t="b">
        <v>0</v>
      </c>
    </row>
    <row r="1672" spans="1:7" ht="15">
      <c r="A1672" s="114" t="s">
        <v>2516</v>
      </c>
      <c r="B1672" s="114">
        <v>2</v>
      </c>
      <c r="C1672" s="116">
        <v>0.008247397141478936</v>
      </c>
      <c r="D1672" s="114" t="s">
        <v>1714</v>
      </c>
      <c r="E1672" s="114" t="b">
        <v>0</v>
      </c>
      <c r="F1672" s="114" t="b">
        <v>0</v>
      </c>
      <c r="G1672" s="114" t="b">
        <v>0</v>
      </c>
    </row>
    <row r="1673" spans="1:7" ht="15">
      <c r="A1673" s="114" t="s">
        <v>2517</v>
      </c>
      <c r="B1673" s="114">
        <v>2</v>
      </c>
      <c r="C1673" s="116">
        <v>0.008247397141478936</v>
      </c>
      <c r="D1673" s="114" t="s">
        <v>1714</v>
      </c>
      <c r="E1673" s="114" t="b">
        <v>0</v>
      </c>
      <c r="F1673" s="114" t="b">
        <v>0</v>
      </c>
      <c r="G1673" s="114" t="b">
        <v>0</v>
      </c>
    </row>
    <row r="1674" spans="1:7" ht="15">
      <c r="A1674" s="114" t="s">
        <v>2518</v>
      </c>
      <c r="B1674" s="114">
        <v>2</v>
      </c>
      <c r="C1674" s="116">
        <v>0.008247397141478936</v>
      </c>
      <c r="D1674" s="114" t="s">
        <v>1714</v>
      </c>
      <c r="E1674" s="114" t="b">
        <v>0</v>
      </c>
      <c r="F1674" s="114" t="b">
        <v>0</v>
      </c>
      <c r="G1674" s="114" t="b">
        <v>0</v>
      </c>
    </row>
    <row r="1675" spans="1:7" ht="15">
      <c r="A1675" s="114" t="s">
        <v>2514</v>
      </c>
      <c r="B1675" s="114">
        <v>2</v>
      </c>
      <c r="C1675" s="116">
        <v>0.006185547856109202</v>
      </c>
      <c r="D1675" s="114" t="s">
        <v>1714</v>
      </c>
      <c r="E1675" s="114" t="b">
        <v>0</v>
      </c>
      <c r="F1675" s="114" t="b">
        <v>0</v>
      </c>
      <c r="G1675" s="114" t="b">
        <v>0</v>
      </c>
    </row>
    <row r="1676" spans="1:7" ht="15">
      <c r="A1676" s="114" t="s">
        <v>2512</v>
      </c>
      <c r="B1676" s="114">
        <v>2</v>
      </c>
      <c r="C1676" s="116">
        <v>0.008247397141478936</v>
      </c>
      <c r="D1676" s="114" t="s">
        <v>1714</v>
      </c>
      <c r="E1676" s="114" t="b">
        <v>0</v>
      </c>
      <c r="F1676" s="114" t="b">
        <v>0</v>
      </c>
      <c r="G1676" s="114" t="b">
        <v>0</v>
      </c>
    </row>
    <row r="1677" spans="1:7" ht="15">
      <c r="A1677" s="114" t="s">
        <v>2513</v>
      </c>
      <c r="B1677" s="114">
        <v>2</v>
      </c>
      <c r="C1677" s="116">
        <v>0.008247397141478936</v>
      </c>
      <c r="D1677" s="114" t="s">
        <v>1714</v>
      </c>
      <c r="E1677" s="114" t="b">
        <v>0</v>
      </c>
      <c r="F1677" s="114" t="b">
        <v>0</v>
      </c>
      <c r="G1677" s="114" t="b">
        <v>0</v>
      </c>
    </row>
    <row r="1678" spans="1:7" ht="15">
      <c r="A1678" s="114" t="s">
        <v>1924</v>
      </c>
      <c r="B1678" s="114">
        <v>2</v>
      </c>
      <c r="C1678" s="116">
        <v>0.008247397141478936</v>
      </c>
      <c r="D1678" s="114" t="s">
        <v>1714</v>
      </c>
      <c r="E1678" s="114" t="b">
        <v>0</v>
      </c>
      <c r="F1678" s="114" t="b">
        <v>0</v>
      </c>
      <c r="G1678" s="114" t="b">
        <v>0</v>
      </c>
    </row>
    <row r="1679" spans="1:7" ht="15">
      <c r="A1679" s="114" t="s">
        <v>1739</v>
      </c>
      <c r="B1679" s="114">
        <v>2</v>
      </c>
      <c r="C1679" s="116">
        <v>0.006185547856109202</v>
      </c>
      <c r="D1679" s="114" t="s">
        <v>1714</v>
      </c>
      <c r="E1679" s="114" t="b">
        <v>0</v>
      </c>
      <c r="F1679" s="114" t="b">
        <v>0</v>
      </c>
      <c r="G1679" s="114" t="b">
        <v>0</v>
      </c>
    </row>
    <row r="1680" spans="1:7" ht="15">
      <c r="A1680" s="114" t="s">
        <v>1991</v>
      </c>
      <c r="B1680" s="114">
        <v>2</v>
      </c>
      <c r="C1680" s="116">
        <v>0.008247397141478936</v>
      </c>
      <c r="D1680" s="114" t="s">
        <v>1714</v>
      </c>
      <c r="E1680" s="114" t="b">
        <v>0</v>
      </c>
      <c r="F1680" s="114" t="b">
        <v>0</v>
      </c>
      <c r="G1680" s="114" t="b">
        <v>0</v>
      </c>
    </row>
    <row r="1681" spans="1:7" ht="15">
      <c r="A1681" s="114" t="s">
        <v>2511</v>
      </c>
      <c r="B1681" s="114">
        <v>2</v>
      </c>
      <c r="C1681" s="116">
        <v>0.008247397141478936</v>
      </c>
      <c r="D1681" s="114" t="s">
        <v>1714</v>
      </c>
      <c r="E1681" s="114" t="b">
        <v>0</v>
      </c>
      <c r="F1681" s="114" t="b">
        <v>0</v>
      </c>
      <c r="G1681" s="114" t="b">
        <v>0</v>
      </c>
    </row>
    <row r="1682" spans="1:7" ht="15">
      <c r="A1682" s="114" t="s">
        <v>1741</v>
      </c>
      <c r="B1682" s="114">
        <v>2</v>
      </c>
      <c r="C1682" s="116">
        <v>0.006185547856109202</v>
      </c>
      <c r="D1682" s="114" t="s">
        <v>1714</v>
      </c>
      <c r="E1682" s="114" t="b">
        <v>0</v>
      </c>
      <c r="F1682" s="114" t="b">
        <v>0</v>
      </c>
      <c r="G1682" s="114" t="b">
        <v>0</v>
      </c>
    </row>
    <row r="1683" spans="1:7" ht="15">
      <c r="A1683" s="114" t="s">
        <v>1784</v>
      </c>
      <c r="B1683" s="114">
        <v>2</v>
      </c>
      <c r="C1683" s="116">
        <v>0.006185547856109202</v>
      </c>
      <c r="D1683" s="114" t="s">
        <v>1714</v>
      </c>
      <c r="E1683" s="114" t="b">
        <v>0</v>
      </c>
      <c r="F1683" s="114" t="b">
        <v>0</v>
      </c>
      <c r="G1683" s="114" t="b">
        <v>0</v>
      </c>
    </row>
    <row r="1684" spans="1:7" ht="15">
      <c r="A1684" s="114" t="s">
        <v>2507</v>
      </c>
      <c r="B1684" s="114">
        <v>2</v>
      </c>
      <c r="C1684" s="116">
        <v>0.008247397141478936</v>
      </c>
      <c r="D1684" s="114" t="s">
        <v>1714</v>
      </c>
      <c r="E1684" s="114" t="b">
        <v>0</v>
      </c>
      <c r="F1684" s="114" t="b">
        <v>0</v>
      </c>
      <c r="G1684" s="114" t="b">
        <v>0</v>
      </c>
    </row>
    <row r="1685" spans="1:7" ht="15">
      <c r="A1685" s="114" t="s">
        <v>2508</v>
      </c>
      <c r="B1685" s="114">
        <v>2</v>
      </c>
      <c r="C1685" s="116">
        <v>0.008247397141478936</v>
      </c>
      <c r="D1685" s="114" t="s">
        <v>1714</v>
      </c>
      <c r="E1685" s="114" t="b">
        <v>0</v>
      </c>
      <c r="F1685" s="114" t="b">
        <v>0</v>
      </c>
      <c r="G1685" s="114" t="b">
        <v>0</v>
      </c>
    </row>
    <row r="1686" spans="1:7" ht="15">
      <c r="A1686" s="114" t="s">
        <v>2239</v>
      </c>
      <c r="B1686" s="114">
        <v>2</v>
      </c>
      <c r="C1686" s="116">
        <v>0.008247397141478936</v>
      </c>
      <c r="D1686" s="114" t="s">
        <v>1714</v>
      </c>
      <c r="E1686" s="114" t="b">
        <v>0</v>
      </c>
      <c r="F1686" s="114" t="b">
        <v>0</v>
      </c>
      <c r="G1686" s="114" t="b">
        <v>0</v>
      </c>
    </row>
    <row r="1687" spans="1:7" ht="15">
      <c r="A1687" s="114" t="s">
        <v>2503</v>
      </c>
      <c r="B1687" s="114">
        <v>2</v>
      </c>
      <c r="C1687" s="116">
        <v>0.006185547856109202</v>
      </c>
      <c r="D1687" s="114" t="s">
        <v>1714</v>
      </c>
      <c r="E1687" s="114" t="b">
        <v>0</v>
      </c>
      <c r="F1687" s="114" t="b">
        <v>1</v>
      </c>
      <c r="G1687" s="114" t="b">
        <v>0</v>
      </c>
    </row>
    <row r="1688" spans="1:7" ht="15">
      <c r="A1688" s="114" t="s">
        <v>2250</v>
      </c>
      <c r="B1688" s="114">
        <v>2</v>
      </c>
      <c r="C1688" s="116">
        <v>0.006185547856109202</v>
      </c>
      <c r="D1688" s="114" t="s">
        <v>1714</v>
      </c>
      <c r="E1688" s="114" t="b">
        <v>0</v>
      </c>
      <c r="F1688" s="114" t="b">
        <v>0</v>
      </c>
      <c r="G1688" s="114" t="b">
        <v>0</v>
      </c>
    </row>
    <row r="1689" spans="1:7" ht="15">
      <c r="A1689" s="114" t="s">
        <v>2235</v>
      </c>
      <c r="B1689" s="114">
        <v>2</v>
      </c>
      <c r="C1689" s="116">
        <v>0.008247397141478936</v>
      </c>
      <c r="D1689" s="114" t="s">
        <v>1714</v>
      </c>
      <c r="E1689" s="114" t="b">
        <v>0</v>
      </c>
      <c r="F1689" s="114" t="b">
        <v>0</v>
      </c>
      <c r="G1689" s="114" t="b">
        <v>0</v>
      </c>
    </row>
    <row r="1690" spans="1:7" ht="15">
      <c r="A1690" s="114" t="s">
        <v>1969</v>
      </c>
      <c r="B1690" s="114">
        <v>2</v>
      </c>
      <c r="C1690" s="116">
        <v>0.008247397141478936</v>
      </c>
      <c r="D1690" s="114" t="s">
        <v>1714</v>
      </c>
      <c r="E1690" s="114" t="b">
        <v>0</v>
      </c>
      <c r="F1690" s="114" t="b">
        <v>1</v>
      </c>
      <c r="G1690" s="114" t="b">
        <v>0</v>
      </c>
    </row>
    <row r="1691" spans="1:7" ht="15">
      <c r="A1691" s="114" t="s">
        <v>2091</v>
      </c>
      <c r="B1691" s="114">
        <v>2</v>
      </c>
      <c r="C1691" s="116">
        <v>0.008247397141478936</v>
      </c>
      <c r="D1691" s="114" t="s">
        <v>1714</v>
      </c>
      <c r="E1691" s="114" t="b">
        <v>0</v>
      </c>
      <c r="F1691" s="114" t="b">
        <v>0</v>
      </c>
      <c r="G1691" s="114" t="b">
        <v>0</v>
      </c>
    </row>
    <row r="1692" spans="1:7" ht="15">
      <c r="A1692" s="114" t="s">
        <v>2501</v>
      </c>
      <c r="B1692" s="114">
        <v>2</v>
      </c>
      <c r="C1692" s="116">
        <v>0.008247397141478936</v>
      </c>
      <c r="D1692" s="114" t="s">
        <v>1714</v>
      </c>
      <c r="E1692" s="114" t="b">
        <v>0</v>
      </c>
      <c r="F1692" s="114" t="b">
        <v>0</v>
      </c>
      <c r="G1692" s="114" t="b">
        <v>0</v>
      </c>
    </row>
    <row r="1693" spans="1:7" ht="15">
      <c r="A1693" s="114" t="s">
        <v>1739</v>
      </c>
      <c r="B1693" s="114">
        <v>23</v>
      </c>
      <c r="C1693" s="116">
        <v>0.01838155587697192</v>
      </c>
      <c r="D1693" s="114" t="s">
        <v>1715</v>
      </c>
      <c r="E1693" s="114" t="b">
        <v>0</v>
      </c>
      <c r="F1693" s="114" t="b">
        <v>0</v>
      </c>
      <c r="G1693" s="114" t="b">
        <v>0</v>
      </c>
    </row>
    <row r="1694" spans="1:7" ht="15">
      <c r="A1694" s="114" t="s">
        <v>1741</v>
      </c>
      <c r="B1694" s="114">
        <v>19</v>
      </c>
      <c r="C1694" s="116">
        <v>0.01518476355054202</v>
      </c>
      <c r="D1694" s="114" t="s">
        <v>1715</v>
      </c>
      <c r="E1694" s="114" t="b">
        <v>0</v>
      </c>
      <c r="F1694" s="114" t="b">
        <v>0</v>
      </c>
      <c r="G1694" s="114" t="b">
        <v>0</v>
      </c>
    </row>
    <row r="1695" spans="1:7" ht="15">
      <c r="A1695" s="114" t="s">
        <v>1743</v>
      </c>
      <c r="B1695" s="114">
        <v>17</v>
      </c>
      <c r="C1695" s="116">
        <v>0.01358636738732707</v>
      </c>
      <c r="D1695" s="114" t="s">
        <v>1715</v>
      </c>
      <c r="E1695" s="114" t="b">
        <v>0</v>
      </c>
      <c r="F1695" s="114" t="b">
        <v>0</v>
      </c>
      <c r="G1695" s="114" t="b">
        <v>0</v>
      </c>
    </row>
    <row r="1696" spans="1:7" ht="15">
      <c r="A1696" s="114" t="s">
        <v>1810</v>
      </c>
      <c r="B1696" s="114">
        <v>16</v>
      </c>
      <c r="C1696" s="116">
        <v>0.003916329264408389</v>
      </c>
      <c r="D1696" s="114" t="s">
        <v>1715</v>
      </c>
      <c r="E1696" s="114" t="b">
        <v>0</v>
      </c>
      <c r="F1696" s="114" t="b">
        <v>0</v>
      </c>
      <c r="G1696" s="114" t="b">
        <v>0</v>
      </c>
    </row>
    <row r="1697" spans="1:7" ht="15">
      <c r="A1697" s="114" t="s">
        <v>1748</v>
      </c>
      <c r="B1697" s="114">
        <v>12</v>
      </c>
      <c r="C1697" s="116">
        <v>0.01252762392759599</v>
      </c>
      <c r="D1697" s="114" t="s">
        <v>1715</v>
      </c>
      <c r="E1697" s="114" t="b">
        <v>0</v>
      </c>
      <c r="F1697" s="114" t="b">
        <v>0</v>
      </c>
      <c r="G1697" s="114" t="b">
        <v>0</v>
      </c>
    </row>
    <row r="1698" spans="1:7" ht="15">
      <c r="A1698" s="114" t="s">
        <v>1740</v>
      </c>
      <c r="B1698" s="114">
        <v>11</v>
      </c>
      <c r="C1698" s="116">
        <v>0.008791178897682222</v>
      </c>
      <c r="D1698" s="114" t="s">
        <v>1715</v>
      </c>
      <c r="E1698" s="114" t="b">
        <v>0</v>
      </c>
      <c r="F1698" s="114" t="b">
        <v>0</v>
      </c>
      <c r="G1698" s="114" t="b">
        <v>0</v>
      </c>
    </row>
    <row r="1699" spans="1:7" ht="15">
      <c r="A1699" s="114" t="s">
        <v>1860</v>
      </c>
      <c r="B1699" s="114">
        <v>11</v>
      </c>
      <c r="C1699" s="116">
        <v>0.024362499567961663</v>
      </c>
      <c r="D1699" s="114" t="s">
        <v>1715</v>
      </c>
      <c r="E1699" s="114" t="b">
        <v>0</v>
      </c>
      <c r="F1699" s="114" t="b">
        <v>1</v>
      </c>
      <c r="G1699" s="114" t="b">
        <v>0</v>
      </c>
    </row>
    <row r="1700" spans="1:7" ht="15">
      <c r="A1700" s="114" t="s">
        <v>1883</v>
      </c>
      <c r="B1700" s="114">
        <v>10</v>
      </c>
      <c r="C1700" s="116">
        <v>0.022147726879965145</v>
      </c>
      <c r="D1700" s="114" t="s">
        <v>1715</v>
      </c>
      <c r="E1700" s="114" t="b">
        <v>0</v>
      </c>
      <c r="F1700" s="114" t="b">
        <v>0</v>
      </c>
      <c r="G1700" s="114" t="b">
        <v>0</v>
      </c>
    </row>
    <row r="1701" spans="1:7" ht="15">
      <c r="A1701" s="114" t="s">
        <v>1826</v>
      </c>
      <c r="B1701" s="114">
        <v>9</v>
      </c>
      <c r="C1701" s="116">
        <v>0.010856672915667692</v>
      </c>
      <c r="D1701" s="114" t="s">
        <v>1715</v>
      </c>
      <c r="E1701" s="114" t="b">
        <v>0</v>
      </c>
      <c r="F1701" s="114" t="b">
        <v>0</v>
      </c>
      <c r="G1701" s="114" t="b">
        <v>0</v>
      </c>
    </row>
    <row r="1702" spans="1:7" ht="15">
      <c r="A1702" s="114" t="s">
        <v>1746</v>
      </c>
      <c r="B1702" s="114">
        <v>8</v>
      </c>
      <c r="C1702" s="116">
        <v>0.006393584652859798</v>
      </c>
      <c r="D1702" s="114" t="s">
        <v>1715</v>
      </c>
      <c r="E1702" s="114" t="b">
        <v>0</v>
      </c>
      <c r="F1702" s="114" t="b">
        <v>1</v>
      </c>
      <c r="G1702" s="114" t="b">
        <v>0</v>
      </c>
    </row>
    <row r="1703" spans="1:7" ht="15">
      <c r="A1703" s="114" t="s">
        <v>1904</v>
      </c>
      <c r="B1703" s="114">
        <v>7</v>
      </c>
      <c r="C1703" s="116">
        <v>0.015503408815975603</v>
      </c>
      <c r="D1703" s="114" t="s">
        <v>1715</v>
      </c>
      <c r="E1703" s="114" t="b">
        <v>0</v>
      </c>
      <c r="F1703" s="114" t="b">
        <v>0</v>
      </c>
      <c r="G1703" s="114" t="b">
        <v>0</v>
      </c>
    </row>
    <row r="1704" spans="1:7" ht="15">
      <c r="A1704" s="114" t="s">
        <v>1868</v>
      </c>
      <c r="B1704" s="114">
        <v>7</v>
      </c>
      <c r="C1704" s="116">
        <v>0.015503408815975603</v>
      </c>
      <c r="D1704" s="114" t="s">
        <v>1715</v>
      </c>
      <c r="E1704" s="114" t="b">
        <v>0</v>
      </c>
      <c r="F1704" s="114" t="b">
        <v>0</v>
      </c>
      <c r="G1704" s="114" t="b">
        <v>0</v>
      </c>
    </row>
    <row r="1705" spans="1:7" ht="15">
      <c r="A1705" s="114" t="s">
        <v>1951</v>
      </c>
      <c r="B1705" s="114">
        <v>7</v>
      </c>
      <c r="C1705" s="116">
        <v>0.015503408815975603</v>
      </c>
      <c r="D1705" s="114" t="s">
        <v>1715</v>
      </c>
      <c r="E1705" s="114" t="b">
        <v>0</v>
      </c>
      <c r="F1705" s="114" t="b">
        <v>0</v>
      </c>
      <c r="G1705" s="114" t="b">
        <v>0</v>
      </c>
    </row>
    <row r="1706" spans="1:7" ht="15">
      <c r="A1706" s="114" t="s">
        <v>1771</v>
      </c>
      <c r="B1706" s="114">
        <v>6</v>
      </c>
      <c r="C1706" s="116">
        <v>0.008493447638334239</v>
      </c>
      <c r="D1706" s="114" t="s">
        <v>1715</v>
      </c>
      <c r="E1706" s="114" t="b">
        <v>0</v>
      </c>
      <c r="F1706" s="114" t="b">
        <v>1</v>
      </c>
      <c r="G1706" s="114" t="b">
        <v>0</v>
      </c>
    </row>
    <row r="1707" spans="1:7" ht="15">
      <c r="A1707" s="114" t="s">
        <v>1806</v>
      </c>
      <c r="B1707" s="114">
        <v>6</v>
      </c>
      <c r="C1707" s="116">
        <v>0.013288636127979089</v>
      </c>
      <c r="D1707" s="114" t="s">
        <v>1715</v>
      </c>
      <c r="E1707" s="114" t="b">
        <v>0</v>
      </c>
      <c r="F1707" s="114" t="b">
        <v>0</v>
      </c>
      <c r="G1707" s="114" t="b">
        <v>0</v>
      </c>
    </row>
    <row r="1708" spans="1:7" ht="15">
      <c r="A1708" s="114" t="s">
        <v>1978</v>
      </c>
      <c r="B1708" s="114">
        <v>6</v>
      </c>
      <c r="C1708" s="116">
        <v>0.013288636127979089</v>
      </c>
      <c r="D1708" s="114" t="s">
        <v>1715</v>
      </c>
      <c r="E1708" s="114" t="b">
        <v>0</v>
      </c>
      <c r="F1708" s="114" t="b">
        <v>0</v>
      </c>
      <c r="G1708" s="114" t="b">
        <v>0</v>
      </c>
    </row>
    <row r="1709" spans="1:7" ht="15">
      <c r="A1709" s="114" t="s">
        <v>1979</v>
      </c>
      <c r="B1709" s="114">
        <v>6</v>
      </c>
      <c r="C1709" s="116">
        <v>0.013288636127979089</v>
      </c>
      <c r="D1709" s="114" t="s">
        <v>1715</v>
      </c>
      <c r="E1709" s="114" t="b">
        <v>0</v>
      </c>
      <c r="F1709" s="114" t="b">
        <v>1</v>
      </c>
      <c r="G1709" s="114" t="b">
        <v>0</v>
      </c>
    </row>
    <row r="1710" spans="1:7" ht="15">
      <c r="A1710" s="114" t="s">
        <v>1976</v>
      </c>
      <c r="B1710" s="114">
        <v>6</v>
      </c>
      <c r="C1710" s="116">
        <v>0.013288636127979089</v>
      </c>
      <c r="D1710" s="114" t="s">
        <v>1715</v>
      </c>
      <c r="E1710" s="114" t="b">
        <v>0</v>
      </c>
      <c r="F1710" s="114" t="b">
        <v>0</v>
      </c>
      <c r="G1710" s="114" t="b">
        <v>0</v>
      </c>
    </row>
    <row r="1711" spans="1:7" ht="15">
      <c r="A1711" s="114" t="s">
        <v>1977</v>
      </c>
      <c r="B1711" s="114">
        <v>6</v>
      </c>
      <c r="C1711" s="116">
        <v>0.013288636127979089</v>
      </c>
      <c r="D1711" s="114" t="s">
        <v>1715</v>
      </c>
      <c r="E1711" s="114" t="b">
        <v>0</v>
      </c>
      <c r="F1711" s="114" t="b">
        <v>0</v>
      </c>
      <c r="G1711" s="114" t="b">
        <v>0</v>
      </c>
    </row>
    <row r="1712" spans="1:7" ht="15">
      <c r="A1712" s="114" t="s">
        <v>1777</v>
      </c>
      <c r="B1712" s="114">
        <v>5</v>
      </c>
      <c r="C1712" s="116">
        <v>0.006031484953148717</v>
      </c>
      <c r="D1712" s="114" t="s">
        <v>1715</v>
      </c>
      <c r="E1712" s="114" t="b">
        <v>0</v>
      </c>
      <c r="F1712" s="114" t="b">
        <v>0</v>
      </c>
      <c r="G1712" s="114" t="b">
        <v>0</v>
      </c>
    </row>
    <row r="1713" spans="1:7" ht="15">
      <c r="A1713" s="114" t="s">
        <v>1744</v>
      </c>
      <c r="B1713" s="114">
        <v>5</v>
      </c>
      <c r="C1713" s="116">
        <v>0.007077873031945199</v>
      </c>
      <c r="D1713" s="114" t="s">
        <v>1715</v>
      </c>
      <c r="E1713" s="114" t="b">
        <v>0</v>
      </c>
      <c r="F1713" s="114" t="b">
        <v>0</v>
      </c>
      <c r="G1713" s="114" t="b">
        <v>0</v>
      </c>
    </row>
    <row r="1714" spans="1:7" ht="15">
      <c r="A1714" s="114" t="s">
        <v>1790</v>
      </c>
      <c r="B1714" s="114">
        <v>5</v>
      </c>
      <c r="C1714" s="116">
        <v>0.007077873031945199</v>
      </c>
      <c r="D1714" s="114" t="s">
        <v>1715</v>
      </c>
      <c r="E1714" s="114" t="b">
        <v>0</v>
      </c>
      <c r="F1714" s="114" t="b">
        <v>0</v>
      </c>
      <c r="G1714" s="114" t="b">
        <v>0</v>
      </c>
    </row>
    <row r="1715" spans="1:7" ht="15">
      <c r="A1715" s="114" t="s">
        <v>1747</v>
      </c>
      <c r="B1715" s="114">
        <v>5</v>
      </c>
      <c r="C1715" s="116">
        <v>0.005219843303164995</v>
      </c>
      <c r="D1715" s="114" t="s">
        <v>1715</v>
      </c>
      <c r="E1715" s="114" t="b">
        <v>0</v>
      </c>
      <c r="F1715" s="114" t="b">
        <v>0</v>
      </c>
      <c r="G1715" s="114" t="b">
        <v>0</v>
      </c>
    </row>
    <row r="1716" spans="1:7" ht="15">
      <c r="A1716" s="114" t="s">
        <v>2020</v>
      </c>
      <c r="B1716" s="114">
        <v>5</v>
      </c>
      <c r="C1716" s="116">
        <v>0.011073863439982573</v>
      </c>
      <c r="D1716" s="114" t="s">
        <v>1715</v>
      </c>
      <c r="E1716" s="114" t="b">
        <v>0</v>
      </c>
      <c r="F1716" s="114" t="b">
        <v>0</v>
      </c>
      <c r="G1716" s="114" t="b">
        <v>0</v>
      </c>
    </row>
    <row r="1717" spans="1:7" ht="15">
      <c r="A1717" s="114" t="s">
        <v>2019</v>
      </c>
      <c r="B1717" s="114">
        <v>5</v>
      </c>
      <c r="C1717" s="116">
        <v>0.011073863439982573</v>
      </c>
      <c r="D1717" s="114" t="s">
        <v>1715</v>
      </c>
      <c r="E1717" s="114" t="b">
        <v>1</v>
      </c>
      <c r="F1717" s="114" t="b">
        <v>0</v>
      </c>
      <c r="G1717" s="114" t="b">
        <v>0</v>
      </c>
    </row>
    <row r="1718" spans="1:7" ht="15">
      <c r="A1718" s="114" t="s">
        <v>2103</v>
      </c>
      <c r="B1718" s="114">
        <v>4</v>
      </c>
      <c r="C1718" s="116">
        <v>0.008859090751986059</v>
      </c>
      <c r="D1718" s="114" t="s">
        <v>1715</v>
      </c>
      <c r="E1718" s="114" t="b">
        <v>0</v>
      </c>
      <c r="F1718" s="114" t="b">
        <v>0</v>
      </c>
      <c r="G1718" s="114" t="b">
        <v>0</v>
      </c>
    </row>
    <row r="1719" spans="1:7" ht="15">
      <c r="A1719" s="114" t="s">
        <v>1875</v>
      </c>
      <c r="B1719" s="114">
        <v>4</v>
      </c>
      <c r="C1719" s="116">
        <v>0.005662298425556159</v>
      </c>
      <c r="D1719" s="114" t="s">
        <v>1715</v>
      </c>
      <c r="E1719" s="114" t="b">
        <v>0</v>
      </c>
      <c r="F1719" s="114" t="b">
        <v>0</v>
      </c>
      <c r="G1719" s="114" t="b">
        <v>0</v>
      </c>
    </row>
    <row r="1720" spans="1:7" ht="15">
      <c r="A1720" s="114" t="s">
        <v>2098</v>
      </c>
      <c r="B1720" s="114">
        <v>4</v>
      </c>
      <c r="C1720" s="116">
        <v>0.004825187962518974</v>
      </c>
      <c r="D1720" s="114" t="s">
        <v>1715</v>
      </c>
      <c r="E1720" s="114" t="b">
        <v>0</v>
      </c>
      <c r="F1720" s="114" t="b">
        <v>0</v>
      </c>
      <c r="G1720" s="114" t="b">
        <v>0</v>
      </c>
    </row>
    <row r="1721" spans="1:7" ht="15">
      <c r="A1721" s="114" t="s">
        <v>1784</v>
      </c>
      <c r="B1721" s="114">
        <v>4</v>
      </c>
      <c r="C1721" s="116">
        <v>0.005662298425556159</v>
      </c>
      <c r="D1721" s="114" t="s">
        <v>1715</v>
      </c>
      <c r="E1721" s="114" t="b">
        <v>0</v>
      </c>
      <c r="F1721" s="114" t="b">
        <v>0</v>
      </c>
      <c r="G1721" s="114" t="b">
        <v>0</v>
      </c>
    </row>
    <row r="1722" spans="1:7" ht="15">
      <c r="A1722" s="114" t="s">
        <v>1793</v>
      </c>
      <c r="B1722" s="114">
        <v>4</v>
      </c>
      <c r="C1722" s="116">
        <v>0.005662298425556159</v>
      </c>
      <c r="D1722" s="114" t="s">
        <v>1715</v>
      </c>
      <c r="E1722" s="114" t="b">
        <v>0</v>
      </c>
      <c r="F1722" s="114" t="b">
        <v>0</v>
      </c>
      <c r="G1722" s="114" t="b">
        <v>0</v>
      </c>
    </row>
    <row r="1723" spans="1:7" ht="15">
      <c r="A1723" s="114" t="s">
        <v>1903</v>
      </c>
      <c r="B1723" s="114">
        <v>4</v>
      </c>
      <c r="C1723" s="116">
        <v>0.008859090751986059</v>
      </c>
      <c r="D1723" s="114" t="s">
        <v>1715</v>
      </c>
      <c r="E1723" s="114" t="b">
        <v>0</v>
      </c>
      <c r="F1723" s="114" t="b">
        <v>0</v>
      </c>
      <c r="G1723" s="114" t="b">
        <v>0</v>
      </c>
    </row>
    <row r="1724" spans="1:7" ht="15">
      <c r="A1724" s="114" t="s">
        <v>2018</v>
      </c>
      <c r="B1724" s="114">
        <v>4</v>
      </c>
      <c r="C1724" s="116">
        <v>0.005662298425556159</v>
      </c>
      <c r="D1724" s="114" t="s">
        <v>1715</v>
      </c>
      <c r="E1724" s="114" t="b">
        <v>0</v>
      </c>
      <c r="F1724" s="114" t="b">
        <v>1</v>
      </c>
      <c r="G1724" s="114" t="b">
        <v>0</v>
      </c>
    </row>
    <row r="1725" spans="1:7" ht="15">
      <c r="A1725" s="114" t="s">
        <v>1788</v>
      </c>
      <c r="B1725" s="114">
        <v>4</v>
      </c>
      <c r="C1725" s="116">
        <v>0.006842139357252516</v>
      </c>
      <c r="D1725" s="114" t="s">
        <v>1715</v>
      </c>
      <c r="E1725" s="114" t="b">
        <v>0</v>
      </c>
      <c r="F1725" s="114" t="b">
        <v>0</v>
      </c>
      <c r="G1725" s="114" t="b">
        <v>0</v>
      </c>
    </row>
    <row r="1726" spans="1:7" ht="15">
      <c r="A1726" s="114" t="s">
        <v>2101</v>
      </c>
      <c r="B1726" s="114">
        <v>4</v>
      </c>
      <c r="C1726" s="116">
        <v>0.008859090751986059</v>
      </c>
      <c r="D1726" s="114" t="s">
        <v>1715</v>
      </c>
      <c r="E1726" s="114" t="b">
        <v>1</v>
      </c>
      <c r="F1726" s="114" t="b">
        <v>0</v>
      </c>
      <c r="G1726" s="114" t="b">
        <v>0</v>
      </c>
    </row>
    <row r="1727" spans="1:7" ht="15">
      <c r="A1727" s="114" t="s">
        <v>2100</v>
      </c>
      <c r="B1727" s="114">
        <v>4</v>
      </c>
      <c r="C1727" s="116">
        <v>0.008859090751986059</v>
      </c>
      <c r="D1727" s="114" t="s">
        <v>1715</v>
      </c>
      <c r="E1727" s="114" t="b">
        <v>0</v>
      </c>
      <c r="F1727" s="114" t="b">
        <v>0</v>
      </c>
      <c r="G1727" s="114" t="b">
        <v>0</v>
      </c>
    </row>
    <row r="1728" spans="1:7" ht="15">
      <c r="A1728" s="114" t="s">
        <v>1765</v>
      </c>
      <c r="B1728" s="114">
        <v>3</v>
      </c>
      <c r="C1728" s="116">
        <v>0.005131604517939387</v>
      </c>
      <c r="D1728" s="114" t="s">
        <v>1715</v>
      </c>
      <c r="E1728" s="114" t="b">
        <v>0</v>
      </c>
      <c r="F1728" s="114" t="b">
        <v>0</v>
      </c>
      <c r="G1728" s="114" t="b">
        <v>0</v>
      </c>
    </row>
    <row r="1729" spans="1:7" ht="15">
      <c r="A1729" s="114" t="s">
        <v>1742</v>
      </c>
      <c r="B1729" s="114">
        <v>3</v>
      </c>
      <c r="C1729" s="116">
        <v>0.006644318063989544</v>
      </c>
      <c r="D1729" s="114" t="s">
        <v>1715</v>
      </c>
      <c r="E1729" s="114" t="b">
        <v>0</v>
      </c>
      <c r="F1729" s="114" t="b">
        <v>0</v>
      </c>
      <c r="G1729" s="114" t="b">
        <v>0</v>
      </c>
    </row>
    <row r="1730" spans="1:7" ht="15">
      <c r="A1730" s="114" t="s">
        <v>1803</v>
      </c>
      <c r="B1730" s="114">
        <v>3</v>
      </c>
      <c r="C1730" s="116">
        <v>0.005131604517939387</v>
      </c>
      <c r="D1730" s="114" t="s">
        <v>1715</v>
      </c>
      <c r="E1730" s="114" t="b">
        <v>0</v>
      </c>
      <c r="F1730" s="114" t="b">
        <v>0</v>
      </c>
      <c r="G1730" s="114" t="b">
        <v>0</v>
      </c>
    </row>
    <row r="1731" spans="1:7" ht="15">
      <c r="A1731" s="114" t="s">
        <v>1818</v>
      </c>
      <c r="B1731" s="114">
        <v>3</v>
      </c>
      <c r="C1731" s="116">
        <v>0.006644318063989544</v>
      </c>
      <c r="D1731" s="114" t="s">
        <v>1715</v>
      </c>
      <c r="E1731" s="114" t="b">
        <v>0</v>
      </c>
      <c r="F1731" s="114" t="b">
        <v>0</v>
      </c>
      <c r="G1731" s="114" t="b">
        <v>0</v>
      </c>
    </row>
    <row r="1732" spans="1:7" ht="15">
      <c r="A1732" s="114" t="s">
        <v>1876</v>
      </c>
      <c r="B1732" s="114">
        <v>3</v>
      </c>
      <c r="C1732" s="116">
        <v>0.006644318063989544</v>
      </c>
      <c r="D1732" s="114" t="s">
        <v>1715</v>
      </c>
      <c r="E1732" s="114" t="b">
        <v>0</v>
      </c>
      <c r="F1732" s="114" t="b">
        <v>0</v>
      </c>
      <c r="G1732" s="114" t="b">
        <v>0</v>
      </c>
    </row>
    <row r="1733" spans="1:7" ht="15">
      <c r="A1733" s="114" t="s">
        <v>1912</v>
      </c>
      <c r="B1733" s="114">
        <v>3</v>
      </c>
      <c r="C1733" s="116">
        <v>0.006644318063989544</v>
      </c>
      <c r="D1733" s="114" t="s">
        <v>1715</v>
      </c>
      <c r="E1733" s="114" t="b">
        <v>0</v>
      </c>
      <c r="F1733" s="114" t="b">
        <v>0</v>
      </c>
      <c r="G1733" s="114" t="b">
        <v>0</v>
      </c>
    </row>
    <row r="1734" spans="1:7" ht="15">
      <c r="A1734" s="114" t="s">
        <v>1824</v>
      </c>
      <c r="B1734" s="114">
        <v>3</v>
      </c>
      <c r="C1734" s="116">
        <v>0.006644318063989544</v>
      </c>
      <c r="D1734" s="114" t="s">
        <v>1715</v>
      </c>
      <c r="E1734" s="114" t="b">
        <v>0</v>
      </c>
      <c r="F1734" s="114" t="b">
        <v>0</v>
      </c>
      <c r="G1734" s="114" t="b">
        <v>0</v>
      </c>
    </row>
    <row r="1735" spans="1:7" ht="15">
      <c r="A1735" s="114" t="s">
        <v>1795</v>
      </c>
      <c r="B1735" s="114">
        <v>3</v>
      </c>
      <c r="C1735" s="116">
        <v>0.0042467238191671195</v>
      </c>
      <c r="D1735" s="114" t="s">
        <v>1715</v>
      </c>
      <c r="E1735" s="114" t="b">
        <v>0</v>
      </c>
      <c r="F1735" s="114" t="b">
        <v>1</v>
      </c>
      <c r="G1735" s="114" t="b">
        <v>0</v>
      </c>
    </row>
    <row r="1736" spans="1:7" ht="15">
      <c r="A1736" s="114" t="s">
        <v>1787</v>
      </c>
      <c r="B1736" s="114">
        <v>3</v>
      </c>
      <c r="C1736" s="116">
        <v>0.005131604517939387</v>
      </c>
      <c r="D1736" s="114" t="s">
        <v>1715</v>
      </c>
      <c r="E1736" s="114" t="b">
        <v>0</v>
      </c>
      <c r="F1736" s="114" t="b">
        <v>0</v>
      </c>
      <c r="G1736" s="114" t="b">
        <v>0</v>
      </c>
    </row>
    <row r="1737" spans="1:7" ht="15">
      <c r="A1737" s="114" t="s">
        <v>2241</v>
      </c>
      <c r="B1737" s="114">
        <v>3</v>
      </c>
      <c r="C1737" s="116">
        <v>0.006644318063989544</v>
      </c>
      <c r="D1737" s="114" t="s">
        <v>1715</v>
      </c>
      <c r="E1737" s="114" t="b">
        <v>0</v>
      </c>
      <c r="F1737" s="114" t="b">
        <v>0</v>
      </c>
      <c r="G1737" s="114" t="b">
        <v>0</v>
      </c>
    </row>
    <row r="1738" spans="1:7" ht="15">
      <c r="A1738" s="114" t="s">
        <v>2102</v>
      </c>
      <c r="B1738" s="114">
        <v>3</v>
      </c>
      <c r="C1738" s="116">
        <v>0.006644318063989544</v>
      </c>
      <c r="D1738" s="114" t="s">
        <v>1715</v>
      </c>
      <c r="E1738" s="114" t="b">
        <v>1</v>
      </c>
      <c r="F1738" s="114" t="b">
        <v>0</v>
      </c>
      <c r="G1738" s="114" t="b">
        <v>0</v>
      </c>
    </row>
    <row r="1739" spans="1:7" ht="15">
      <c r="A1739" s="114" t="s">
        <v>2236</v>
      </c>
      <c r="B1739" s="114">
        <v>3</v>
      </c>
      <c r="C1739" s="116">
        <v>0.005131604517939387</v>
      </c>
      <c r="D1739" s="114" t="s">
        <v>1715</v>
      </c>
      <c r="E1739" s="114" t="b">
        <v>0</v>
      </c>
      <c r="F1739" s="114" t="b">
        <v>1</v>
      </c>
      <c r="G1739" s="114" t="b">
        <v>0</v>
      </c>
    </row>
    <row r="1740" spans="1:7" ht="15">
      <c r="A1740" s="114" t="s">
        <v>1848</v>
      </c>
      <c r="B1740" s="114">
        <v>3</v>
      </c>
      <c r="C1740" s="116">
        <v>0.0042467238191671195</v>
      </c>
      <c r="D1740" s="114" t="s">
        <v>1715</v>
      </c>
      <c r="E1740" s="114" t="b">
        <v>0</v>
      </c>
      <c r="F1740" s="114" t="b">
        <v>1</v>
      </c>
      <c r="G1740" s="114" t="b">
        <v>0</v>
      </c>
    </row>
    <row r="1741" spans="1:7" ht="15">
      <c r="A1741" s="114" t="s">
        <v>2097</v>
      </c>
      <c r="B1741" s="114">
        <v>3</v>
      </c>
      <c r="C1741" s="116">
        <v>0.0042467238191671195</v>
      </c>
      <c r="D1741" s="114" t="s">
        <v>1715</v>
      </c>
      <c r="E1741" s="114" t="b">
        <v>0</v>
      </c>
      <c r="F1741" s="114" t="b">
        <v>0</v>
      </c>
      <c r="G1741" s="114" t="b">
        <v>0</v>
      </c>
    </row>
    <row r="1742" spans="1:7" ht="15">
      <c r="A1742" s="114" t="s">
        <v>2238</v>
      </c>
      <c r="B1742" s="114">
        <v>3</v>
      </c>
      <c r="C1742" s="116">
        <v>0.006644318063989544</v>
      </c>
      <c r="D1742" s="114" t="s">
        <v>1715</v>
      </c>
      <c r="E1742" s="114" t="b">
        <v>0</v>
      </c>
      <c r="F1742" s="114" t="b">
        <v>1</v>
      </c>
      <c r="G1742" s="114" t="b">
        <v>0</v>
      </c>
    </row>
    <row r="1743" spans="1:7" ht="15">
      <c r="A1743" s="114" t="s">
        <v>1969</v>
      </c>
      <c r="B1743" s="114">
        <v>3</v>
      </c>
      <c r="C1743" s="116">
        <v>0.006644318063989544</v>
      </c>
      <c r="D1743" s="114" t="s">
        <v>1715</v>
      </c>
      <c r="E1743" s="114" t="b">
        <v>0</v>
      </c>
      <c r="F1743" s="114" t="b">
        <v>1</v>
      </c>
      <c r="G1743" s="114" t="b">
        <v>0</v>
      </c>
    </row>
    <row r="1744" spans="1:7" ht="15">
      <c r="A1744" s="114" t="s">
        <v>2095</v>
      </c>
      <c r="B1744" s="114">
        <v>3</v>
      </c>
      <c r="C1744" s="116">
        <v>0.0042467238191671195</v>
      </c>
      <c r="D1744" s="114" t="s">
        <v>1715</v>
      </c>
      <c r="E1744" s="114" t="b">
        <v>0</v>
      </c>
      <c r="F1744" s="114" t="b">
        <v>0</v>
      </c>
      <c r="G1744" s="114" t="b">
        <v>0</v>
      </c>
    </row>
    <row r="1745" spans="1:7" ht="15">
      <c r="A1745" s="114" t="s">
        <v>2237</v>
      </c>
      <c r="B1745" s="114">
        <v>3</v>
      </c>
      <c r="C1745" s="116">
        <v>0.006644318063989544</v>
      </c>
      <c r="D1745" s="114" t="s">
        <v>1715</v>
      </c>
      <c r="E1745" s="114" t="b">
        <v>1</v>
      </c>
      <c r="F1745" s="114" t="b">
        <v>0</v>
      </c>
      <c r="G1745" s="114" t="b">
        <v>0</v>
      </c>
    </row>
    <row r="1746" spans="1:7" ht="15">
      <c r="A1746" s="114" t="s">
        <v>1776</v>
      </c>
      <c r="B1746" s="114">
        <v>3</v>
      </c>
      <c r="C1746" s="116">
        <v>0.0042467238191671195</v>
      </c>
      <c r="D1746" s="114" t="s">
        <v>1715</v>
      </c>
      <c r="E1746" s="114" t="b">
        <v>0</v>
      </c>
      <c r="F1746" s="114" t="b">
        <v>0</v>
      </c>
      <c r="G1746" s="114" t="b">
        <v>0</v>
      </c>
    </row>
    <row r="1747" spans="1:7" ht="15">
      <c r="A1747" s="114" t="s">
        <v>2048</v>
      </c>
      <c r="B1747" s="114">
        <v>3</v>
      </c>
      <c r="C1747" s="116">
        <v>0.005131604517939387</v>
      </c>
      <c r="D1747" s="114" t="s">
        <v>1715</v>
      </c>
      <c r="E1747" s="114" t="b">
        <v>0</v>
      </c>
      <c r="F1747" s="114" t="b">
        <v>0</v>
      </c>
      <c r="G1747" s="114" t="b">
        <v>0</v>
      </c>
    </row>
    <row r="1748" spans="1:7" ht="15">
      <c r="A1748" s="114" t="s">
        <v>2229</v>
      </c>
      <c r="B1748" s="114">
        <v>3</v>
      </c>
      <c r="C1748" s="116">
        <v>0.005131604517939387</v>
      </c>
      <c r="D1748" s="114" t="s">
        <v>1715</v>
      </c>
      <c r="E1748" s="114" t="b">
        <v>0</v>
      </c>
      <c r="F1748" s="114" t="b">
        <v>0</v>
      </c>
      <c r="G1748" s="114" t="b">
        <v>0</v>
      </c>
    </row>
    <row r="1749" spans="1:7" ht="15">
      <c r="A1749" s="114" t="s">
        <v>2232</v>
      </c>
      <c r="B1749" s="114">
        <v>3</v>
      </c>
      <c r="C1749" s="116">
        <v>0.006644318063989544</v>
      </c>
      <c r="D1749" s="114" t="s">
        <v>1715</v>
      </c>
      <c r="E1749" s="114" t="b">
        <v>1</v>
      </c>
      <c r="F1749" s="114" t="b">
        <v>0</v>
      </c>
      <c r="G1749" s="114" t="b">
        <v>0</v>
      </c>
    </row>
    <row r="1750" spans="1:7" ht="15">
      <c r="A1750" s="114" t="s">
        <v>2231</v>
      </c>
      <c r="B1750" s="114">
        <v>3</v>
      </c>
      <c r="C1750" s="116">
        <v>0.006644318063989544</v>
      </c>
      <c r="D1750" s="114" t="s">
        <v>1715</v>
      </c>
      <c r="E1750" s="114" t="b">
        <v>0</v>
      </c>
      <c r="F1750" s="114" t="b">
        <v>0</v>
      </c>
      <c r="G1750" s="114" t="b">
        <v>0</v>
      </c>
    </row>
    <row r="1751" spans="1:7" ht="15">
      <c r="A1751" s="114" t="s">
        <v>1751</v>
      </c>
      <c r="B1751" s="114">
        <v>2</v>
      </c>
      <c r="C1751" s="116">
        <v>0.003421069678626258</v>
      </c>
      <c r="D1751" s="114" t="s">
        <v>1715</v>
      </c>
      <c r="E1751" s="114" t="b">
        <v>0</v>
      </c>
      <c r="F1751" s="114" t="b">
        <v>1</v>
      </c>
      <c r="G1751" s="114" t="b">
        <v>0</v>
      </c>
    </row>
    <row r="1752" spans="1:7" ht="15">
      <c r="A1752" s="114" t="s">
        <v>2471</v>
      </c>
      <c r="B1752" s="114">
        <v>2</v>
      </c>
      <c r="C1752" s="116">
        <v>0.003421069678626258</v>
      </c>
      <c r="D1752" s="114" t="s">
        <v>1715</v>
      </c>
      <c r="E1752" s="114" t="b">
        <v>0</v>
      </c>
      <c r="F1752" s="114" t="b">
        <v>0</v>
      </c>
      <c r="G1752" s="114" t="b">
        <v>0</v>
      </c>
    </row>
    <row r="1753" spans="1:7" ht="15">
      <c r="A1753" s="114" t="s">
        <v>2457</v>
      </c>
      <c r="B1753" s="114">
        <v>2</v>
      </c>
      <c r="C1753" s="116">
        <v>0.003421069678626258</v>
      </c>
      <c r="D1753" s="114" t="s">
        <v>1715</v>
      </c>
      <c r="E1753" s="114" t="b">
        <v>0</v>
      </c>
      <c r="F1753" s="114" t="b">
        <v>0</v>
      </c>
      <c r="G1753" s="114" t="b">
        <v>0</v>
      </c>
    </row>
    <row r="1754" spans="1:7" ht="15">
      <c r="A1754" s="114" t="s">
        <v>2483</v>
      </c>
      <c r="B1754" s="114">
        <v>2</v>
      </c>
      <c r="C1754" s="116">
        <v>0.004429545375993029</v>
      </c>
      <c r="D1754" s="114" t="s">
        <v>1715</v>
      </c>
      <c r="E1754" s="114" t="b">
        <v>0</v>
      </c>
      <c r="F1754" s="114" t="b">
        <v>0</v>
      </c>
      <c r="G1754" s="114" t="b">
        <v>0</v>
      </c>
    </row>
    <row r="1755" spans="1:7" ht="15">
      <c r="A1755" s="114" t="s">
        <v>2159</v>
      </c>
      <c r="B1755" s="114">
        <v>2</v>
      </c>
      <c r="C1755" s="116">
        <v>0.004429545375993029</v>
      </c>
      <c r="D1755" s="114" t="s">
        <v>1715</v>
      </c>
      <c r="E1755" s="114" t="b">
        <v>0</v>
      </c>
      <c r="F1755" s="114" t="b">
        <v>0</v>
      </c>
      <c r="G1755" s="114" t="b">
        <v>0</v>
      </c>
    </row>
    <row r="1756" spans="1:7" ht="15">
      <c r="A1756" s="114" t="s">
        <v>1837</v>
      </c>
      <c r="B1756" s="114">
        <v>2</v>
      </c>
      <c r="C1756" s="116">
        <v>0.003421069678626258</v>
      </c>
      <c r="D1756" s="114" t="s">
        <v>1715</v>
      </c>
      <c r="E1756" s="114" t="b">
        <v>0</v>
      </c>
      <c r="F1756" s="114" t="b">
        <v>0</v>
      </c>
      <c r="G1756" s="114" t="b">
        <v>0</v>
      </c>
    </row>
    <row r="1757" spans="1:7" ht="15">
      <c r="A1757" s="114" t="s">
        <v>2484</v>
      </c>
      <c r="B1757" s="114">
        <v>2</v>
      </c>
      <c r="C1757" s="116">
        <v>0.004429545375993029</v>
      </c>
      <c r="D1757" s="114" t="s">
        <v>1715</v>
      </c>
      <c r="E1757" s="114" t="b">
        <v>0</v>
      </c>
      <c r="F1757" s="114" t="b">
        <v>0</v>
      </c>
      <c r="G1757" s="114" t="b">
        <v>0</v>
      </c>
    </row>
    <row r="1758" spans="1:7" ht="15">
      <c r="A1758" s="114" t="s">
        <v>2485</v>
      </c>
      <c r="B1758" s="114">
        <v>2</v>
      </c>
      <c r="C1758" s="116">
        <v>0.004429545375993029</v>
      </c>
      <c r="D1758" s="114" t="s">
        <v>1715</v>
      </c>
      <c r="E1758" s="114" t="b">
        <v>0</v>
      </c>
      <c r="F1758" s="114" t="b">
        <v>1</v>
      </c>
      <c r="G1758" s="114" t="b">
        <v>0</v>
      </c>
    </row>
    <row r="1759" spans="1:7" ht="15">
      <c r="A1759" s="114" t="s">
        <v>1783</v>
      </c>
      <c r="B1759" s="114">
        <v>2</v>
      </c>
      <c r="C1759" s="116">
        <v>0.004429545375993029</v>
      </c>
      <c r="D1759" s="114" t="s">
        <v>1715</v>
      </c>
      <c r="E1759" s="114" t="b">
        <v>0</v>
      </c>
      <c r="F1759" s="114" t="b">
        <v>0</v>
      </c>
      <c r="G1759" s="114" t="b">
        <v>0</v>
      </c>
    </row>
    <row r="1760" spans="1:7" ht="15">
      <c r="A1760" s="114" t="s">
        <v>2482</v>
      </c>
      <c r="B1760" s="114">
        <v>2</v>
      </c>
      <c r="C1760" s="116">
        <v>0.004429545375993029</v>
      </c>
      <c r="D1760" s="114" t="s">
        <v>1715</v>
      </c>
      <c r="E1760" s="114" t="b">
        <v>0</v>
      </c>
      <c r="F1760" s="114" t="b">
        <v>0</v>
      </c>
      <c r="G1760" s="114" t="b">
        <v>0</v>
      </c>
    </row>
    <row r="1761" spans="1:7" ht="15">
      <c r="A1761" s="114" t="s">
        <v>2480</v>
      </c>
      <c r="B1761" s="114">
        <v>2</v>
      </c>
      <c r="C1761" s="116">
        <v>0.003421069678626258</v>
      </c>
      <c r="D1761" s="114" t="s">
        <v>1715</v>
      </c>
      <c r="E1761" s="114" t="b">
        <v>0</v>
      </c>
      <c r="F1761" s="114" t="b">
        <v>1</v>
      </c>
      <c r="G1761" s="114" t="b">
        <v>0</v>
      </c>
    </row>
    <row r="1762" spans="1:7" ht="15">
      <c r="A1762" s="114" t="s">
        <v>2005</v>
      </c>
      <c r="B1762" s="114">
        <v>2</v>
      </c>
      <c r="C1762" s="116">
        <v>0.004429545375993029</v>
      </c>
      <c r="D1762" s="114" t="s">
        <v>1715</v>
      </c>
      <c r="E1762" s="114" t="b">
        <v>0</v>
      </c>
      <c r="F1762" s="114" t="b">
        <v>0</v>
      </c>
      <c r="G1762" s="114" t="b">
        <v>0</v>
      </c>
    </row>
    <row r="1763" spans="1:7" ht="15">
      <c r="A1763" s="114" t="s">
        <v>2242</v>
      </c>
      <c r="B1763" s="114">
        <v>2</v>
      </c>
      <c r="C1763" s="116">
        <v>0.004429545375993029</v>
      </c>
      <c r="D1763" s="114" t="s">
        <v>1715</v>
      </c>
      <c r="E1763" s="114" t="b">
        <v>0</v>
      </c>
      <c r="F1763" s="114" t="b">
        <v>0</v>
      </c>
      <c r="G1763" s="114" t="b">
        <v>0</v>
      </c>
    </row>
    <row r="1764" spans="1:7" ht="15">
      <c r="A1764" s="114" t="s">
        <v>2479</v>
      </c>
      <c r="B1764" s="114">
        <v>2</v>
      </c>
      <c r="C1764" s="116">
        <v>0.004429545375993029</v>
      </c>
      <c r="D1764" s="114" t="s">
        <v>1715</v>
      </c>
      <c r="E1764" s="114" t="b">
        <v>0</v>
      </c>
      <c r="F1764" s="114" t="b">
        <v>0</v>
      </c>
      <c r="G1764" s="114" t="b">
        <v>0</v>
      </c>
    </row>
    <row r="1765" spans="1:7" ht="15">
      <c r="A1765" s="114" t="s">
        <v>2467</v>
      </c>
      <c r="B1765" s="114">
        <v>2</v>
      </c>
      <c r="C1765" s="116">
        <v>0.003421069678626258</v>
      </c>
      <c r="D1765" s="114" t="s">
        <v>1715</v>
      </c>
      <c r="E1765" s="114" t="b">
        <v>0</v>
      </c>
      <c r="F1765" s="114" t="b">
        <v>0</v>
      </c>
      <c r="G1765" s="114" t="b">
        <v>0</v>
      </c>
    </row>
    <row r="1766" spans="1:7" ht="15">
      <c r="A1766" s="114" t="s">
        <v>2185</v>
      </c>
      <c r="B1766" s="114">
        <v>2</v>
      </c>
      <c r="C1766" s="116">
        <v>0.004429545375993029</v>
      </c>
      <c r="D1766" s="114" t="s">
        <v>1715</v>
      </c>
      <c r="E1766" s="114" t="b">
        <v>0</v>
      </c>
      <c r="F1766" s="114" t="b">
        <v>0</v>
      </c>
      <c r="G1766" s="114" t="b">
        <v>0</v>
      </c>
    </row>
    <row r="1767" spans="1:7" ht="15">
      <c r="A1767" s="114" t="s">
        <v>1952</v>
      </c>
      <c r="B1767" s="114">
        <v>2</v>
      </c>
      <c r="C1767" s="116">
        <v>0.003421069678626258</v>
      </c>
      <c r="D1767" s="114" t="s">
        <v>1715</v>
      </c>
      <c r="E1767" s="114" t="b">
        <v>0</v>
      </c>
      <c r="F1767" s="114" t="b">
        <v>0</v>
      </c>
      <c r="G1767" s="114" t="b">
        <v>0</v>
      </c>
    </row>
    <row r="1768" spans="1:7" ht="15">
      <c r="A1768" s="114" t="s">
        <v>1800</v>
      </c>
      <c r="B1768" s="114">
        <v>2</v>
      </c>
      <c r="C1768" s="116">
        <v>0.003421069678626258</v>
      </c>
      <c r="D1768" s="114" t="s">
        <v>1715</v>
      </c>
      <c r="E1768" s="114" t="b">
        <v>0</v>
      </c>
      <c r="F1768" s="114" t="b">
        <v>0</v>
      </c>
      <c r="G1768" s="114" t="b">
        <v>0</v>
      </c>
    </row>
    <row r="1769" spans="1:7" ht="15">
      <c r="A1769" s="114" t="s">
        <v>1780</v>
      </c>
      <c r="B1769" s="114">
        <v>2</v>
      </c>
      <c r="C1769" s="116">
        <v>0.003421069678626258</v>
      </c>
      <c r="D1769" s="114" t="s">
        <v>1715</v>
      </c>
      <c r="E1769" s="114" t="b">
        <v>0</v>
      </c>
      <c r="F1769" s="114" t="b">
        <v>0</v>
      </c>
      <c r="G1769" s="114" t="b">
        <v>0</v>
      </c>
    </row>
    <row r="1770" spans="1:7" ht="15">
      <c r="A1770" s="114" t="s">
        <v>1781</v>
      </c>
      <c r="B1770" s="114">
        <v>2</v>
      </c>
      <c r="C1770" s="116">
        <v>0.003421069678626258</v>
      </c>
      <c r="D1770" s="114" t="s">
        <v>1715</v>
      </c>
      <c r="E1770" s="114" t="b">
        <v>0</v>
      </c>
      <c r="F1770" s="114" t="b">
        <v>0</v>
      </c>
      <c r="G1770" s="114" t="b">
        <v>0</v>
      </c>
    </row>
    <row r="1771" spans="1:7" ht="15">
      <c r="A1771" s="114" t="s">
        <v>2477</v>
      </c>
      <c r="B1771" s="114">
        <v>2</v>
      </c>
      <c r="C1771" s="116">
        <v>0.004429545375993029</v>
      </c>
      <c r="D1771" s="114" t="s">
        <v>1715</v>
      </c>
      <c r="E1771" s="114" t="b">
        <v>0</v>
      </c>
      <c r="F1771" s="114" t="b">
        <v>0</v>
      </c>
      <c r="G1771" s="114" t="b">
        <v>0</v>
      </c>
    </row>
    <row r="1772" spans="1:7" ht="15">
      <c r="A1772" s="114" t="s">
        <v>1984</v>
      </c>
      <c r="B1772" s="114">
        <v>2</v>
      </c>
      <c r="C1772" s="116">
        <v>0.003421069678626258</v>
      </c>
      <c r="D1772" s="114" t="s">
        <v>1715</v>
      </c>
      <c r="E1772" s="114" t="b">
        <v>0</v>
      </c>
      <c r="F1772" s="114" t="b">
        <v>0</v>
      </c>
      <c r="G1772" s="114" t="b">
        <v>0</v>
      </c>
    </row>
    <row r="1773" spans="1:7" ht="15">
      <c r="A1773" s="114" t="s">
        <v>2152</v>
      </c>
      <c r="B1773" s="114">
        <v>2</v>
      </c>
      <c r="C1773" s="116">
        <v>0.003421069678626258</v>
      </c>
      <c r="D1773" s="114" t="s">
        <v>1715</v>
      </c>
      <c r="E1773" s="114" t="b">
        <v>0</v>
      </c>
      <c r="F1773" s="114" t="b">
        <v>0</v>
      </c>
      <c r="G1773" s="114" t="b">
        <v>0</v>
      </c>
    </row>
    <row r="1774" spans="1:7" ht="15">
      <c r="A1774" s="114" t="s">
        <v>2473</v>
      </c>
      <c r="B1774" s="114">
        <v>2</v>
      </c>
      <c r="C1774" s="116">
        <v>0.004429545375993029</v>
      </c>
      <c r="D1774" s="114" t="s">
        <v>1715</v>
      </c>
      <c r="E1774" s="114" t="b">
        <v>0</v>
      </c>
      <c r="F1774" s="114" t="b">
        <v>0</v>
      </c>
      <c r="G1774" s="114" t="b">
        <v>0</v>
      </c>
    </row>
    <row r="1775" spans="1:7" ht="15">
      <c r="A1775" s="114" t="s">
        <v>2474</v>
      </c>
      <c r="B1775" s="114">
        <v>2</v>
      </c>
      <c r="C1775" s="116">
        <v>0.004429545375993029</v>
      </c>
      <c r="D1775" s="114" t="s">
        <v>1715</v>
      </c>
      <c r="E1775" s="114" t="b">
        <v>0</v>
      </c>
      <c r="F1775" s="114" t="b">
        <v>0</v>
      </c>
      <c r="G1775" s="114" t="b">
        <v>0</v>
      </c>
    </row>
    <row r="1776" spans="1:7" ht="15">
      <c r="A1776" s="114" t="s">
        <v>2475</v>
      </c>
      <c r="B1776" s="114">
        <v>2</v>
      </c>
      <c r="C1776" s="116">
        <v>0.004429545375993029</v>
      </c>
      <c r="D1776" s="114" t="s">
        <v>1715</v>
      </c>
      <c r="E1776" s="114" t="b">
        <v>0</v>
      </c>
      <c r="F1776" s="114" t="b">
        <v>0</v>
      </c>
      <c r="G1776" s="114" t="b">
        <v>0</v>
      </c>
    </row>
    <row r="1777" spans="1:7" ht="15">
      <c r="A1777" s="114" t="s">
        <v>2222</v>
      </c>
      <c r="B1777" s="114">
        <v>2</v>
      </c>
      <c r="C1777" s="116">
        <v>0.004429545375993029</v>
      </c>
      <c r="D1777" s="114" t="s">
        <v>1715</v>
      </c>
      <c r="E1777" s="114" t="b">
        <v>0</v>
      </c>
      <c r="F1777" s="114" t="b">
        <v>0</v>
      </c>
      <c r="G1777" s="114" t="b">
        <v>0</v>
      </c>
    </row>
    <row r="1778" spans="1:7" ht="15">
      <c r="A1778" s="114" t="s">
        <v>2476</v>
      </c>
      <c r="B1778" s="114">
        <v>2</v>
      </c>
      <c r="C1778" s="116">
        <v>0.004429545375993029</v>
      </c>
      <c r="D1778" s="114" t="s">
        <v>1715</v>
      </c>
      <c r="E1778" s="114" t="b">
        <v>0</v>
      </c>
      <c r="F1778" s="114" t="b">
        <v>0</v>
      </c>
      <c r="G1778" s="114" t="b">
        <v>0</v>
      </c>
    </row>
    <row r="1779" spans="1:7" ht="15">
      <c r="A1779" s="114" t="s">
        <v>2460</v>
      </c>
      <c r="B1779" s="114">
        <v>2</v>
      </c>
      <c r="C1779" s="116">
        <v>0.003421069678626258</v>
      </c>
      <c r="D1779" s="114" t="s">
        <v>1715</v>
      </c>
      <c r="E1779" s="114" t="b">
        <v>0</v>
      </c>
      <c r="F1779" s="114" t="b">
        <v>0</v>
      </c>
      <c r="G1779" s="114" t="b">
        <v>0</v>
      </c>
    </row>
    <row r="1780" spans="1:7" ht="15">
      <c r="A1780" s="114" t="s">
        <v>2470</v>
      </c>
      <c r="B1780" s="114">
        <v>2</v>
      </c>
      <c r="C1780" s="116">
        <v>0.004429545375993029</v>
      </c>
      <c r="D1780" s="114" t="s">
        <v>1715</v>
      </c>
      <c r="E1780" s="114" t="b">
        <v>0</v>
      </c>
      <c r="F1780" s="114" t="b">
        <v>0</v>
      </c>
      <c r="G1780" s="114" t="b">
        <v>0</v>
      </c>
    </row>
    <row r="1781" spans="1:7" ht="15">
      <c r="A1781" s="114" t="s">
        <v>2472</v>
      </c>
      <c r="B1781" s="114">
        <v>2</v>
      </c>
      <c r="C1781" s="116">
        <v>0.004429545375993029</v>
      </c>
      <c r="D1781" s="114" t="s">
        <v>1715</v>
      </c>
      <c r="E1781" s="114" t="b">
        <v>0</v>
      </c>
      <c r="F1781" s="114" t="b">
        <v>0</v>
      </c>
      <c r="G1781" s="114" t="b">
        <v>0</v>
      </c>
    </row>
    <row r="1782" spans="1:7" ht="15">
      <c r="A1782" s="114" t="s">
        <v>2468</v>
      </c>
      <c r="B1782" s="114">
        <v>2</v>
      </c>
      <c r="C1782" s="116">
        <v>0.004429545375993029</v>
      </c>
      <c r="D1782" s="114" t="s">
        <v>1715</v>
      </c>
      <c r="E1782" s="114" t="b">
        <v>0</v>
      </c>
      <c r="F1782" s="114" t="b">
        <v>0</v>
      </c>
      <c r="G1782" s="114" t="b">
        <v>0</v>
      </c>
    </row>
    <row r="1783" spans="1:7" ht="15">
      <c r="A1783" s="114" t="s">
        <v>2469</v>
      </c>
      <c r="B1783" s="114">
        <v>2</v>
      </c>
      <c r="C1783" s="116">
        <v>0.004429545375993029</v>
      </c>
      <c r="D1783" s="114" t="s">
        <v>1715</v>
      </c>
      <c r="E1783" s="114" t="b">
        <v>0</v>
      </c>
      <c r="F1783" s="114" t="b">
        <v>0</v>
      </c>
      <c r="G1783" s="114" t="b">
        <v>0</v>
      </c>
    </row>
    <row r="1784" spans="1:7" ht="15">
      <c r="A1784" s="114" t="s">
        <v>2234</v>
      </c>
      <c r="B1784" s="114">
        <v>2</v>
      </c>
      <c r="C1784" s="116">
        <v>0.004429545375993029</v>
      </c>
      <c r="D1784" s="114" t="s">
        <v>1715</v>
      </c>
      <c r="E1784" s="114" t="b">
        <v>0</v>
      </c>
      <c r="F1784" s="114" t="b">
        <v>0</v>
      </c>
      <c r="G1784" s="114" t="b">
        <v>0</v>
      </c>
    </row>
    <row r="1785" spans="1:7" ht="15">
      <c r="A1785" s="114" t="s">
        <v>2465</v>
      </c>
      <c r="B1785" s="114">
        <v>2</v>
      </c>
      <c r="C1785" s="116">
        <v>0.004429545375993029</v>
      </c>
      <c r="D1785" s="114" t="s">
        <v>1715</v>
      </c>
      <c r="E1785" s="114" t="b">
        <v>0</v>
      </c>
      <c r="F1785" s="114" t="b">
        <v>0</v>
      </c>
      <c r="G1785" s="114" t="b">
        <v>0</v>
      </c>
    </row>
    <row r="1786" spans="1:7" ht="15">
      <c r="A1786" s="114" t="s">
        <v>2466</v>
      </c>
      <c r="B1786" s="114">
        <v>2</v>
      </c>
      <c r="C1786" s="116">
        <v>0.004429545375993029</v>
      </c>
      <c r="D1786" s="114" t="s">
        <v>1715</v>
      </c>
      <c r="E1786" s="114" t="b">
        <v>0</v>
      </c>
      <c r="F1786" s="114" t="b">
        <v>0</v>
      </c>
      <c r="G1786" s="114" t="b">
        <v>0</v>
      </c>
    </row>
    <row r="1787" spans="1:7" ht="15">
      <c r="A1787" s="114" t="s">
        <v>2463</v>
      </c>
      <c r="B1787" s="114">
        <v>2</v>
      </c>
      <c r="C1787" s="116">
        <v>0.004429545375993029</v>
      </c>
      <c r="D1787" s="114" t="s">
        <v>1715</v>
      </c>
      <c r="E1787" s="114" t="b">
        <v>0</v>
      </c>
      <c r="F1787" s="114" t="b">
        <v>0</v>
      </c>
      <c r="G1787" s="114" t="b">
        <v>0</v>
      </c>
    </row>
    <row r="1788" spans="1:7" ht="15">
      <c r="A1788" s="114" t="s">
        <v>2464</v>
      </c>
      <c r="B1788" s="114">
        <v>2</v>
      </c>
      <c r="C1788" s="116">
        <v>0.004429545375993029</v>
      </c>
      <c r="D1788" s="114" t="s">
        <v>1715</v>
      </c>
      <c r="E1788" s="114" t="b">
        <v>0</v>
      </c>
      <c r="F1788" s="114" t="b">
        <v>0</v>
      </c>
      <c r="G1788" s="114" t="b">
        <v>0</v>
      </c>
    </row>
    <row r="1789" spans="1:7" ht="15">
      <c r="A1789" s="114" t="s">
        <v>2452</v>
      </c>
      <c r="B1789" s="114">
        <v>2</v>
      </c>
      <c r="C1789" s="116">
        <v>0.003421069678626258</v>
      </c>
      <c r="D1789" s="114" t="s">
        <v>1715</v>
      </c>
      <c r="E1789" s="114" t="b">
        <v>0</v>
      </c>
      <c r="F1789" s="114" t="b">
        <v>0</v>
      </c>
      <c r="G1789" s="114" t="b">
        <v>0</v>
      </c>
    </row>
    <row r="1790" spans="1:7" ht="15">
      <c r="A1790" s="114" t="s">
        <v>2450</v>
      </c>
      <c r="B1790" s="114">
        <v>2</v>
      </c>
      <c r="C1790" s="116">
        <v>0.003421069678626258</v>
      </c>
      <c r="D1790" s="114" t="s">
        <v>1715</v>
      </c>
      <c r="E1790" s="114" t="b">
        <v>0</v>
      </c>
      <c r="F1790" s="114" t="b">
        <v>0</v>
      </c>
      <c r="G1790" s="114" t="b">
        <v>0</v>
      </c>
    </row>
    <row r="1791" spans="1:7" ht="15">
      <c r="A1791" s="114" t="s">
        <v>2458</v>
      </c>
      <c r="B1791" s="114">
        <v>2</v>
      </c>
      <c r="C1791" s="116">
        <v>0.004429545375993029</v>
      </c>
      <c r="D1791" s="114" t="s">
        <v>1715</v>
      </c>
      <c r="E1791" s="114" t="b">
        <v>0</v>
      </c>
      <c r="F1791" s="114" t="b">
        <v>0</v>
      </c>
      <c r="G1791" s="114" t="b">
        <v>0</v>
      </c>
    </row>
    <row r="1792" spans="1:7" ht="15">
      <c r="A1792" s="114" t="s">
        <v>2459</v>
      </c>
      <c r="B1792" s="114">
        <v>2</v>
      </c>
      <c r="C1792" s="116">
        <v>0.004429545375993029</v>
      </c>
      <c r="D1792" s="114" t="s">
        <v>1715</v>
      </c>
      <c r="E1792" s="114" t="b">
        <v>0</v>
      </c>
      <c r="F1792" s="114" t="b">
        <v>0</v>
      </c>
      <c r="G1792" s="114" t="b">
        <v>0</v>
      </c>
    </row>
    <row r="1793" spans="1:7" ht="15">
      <c r="A1793" s="114" t="s">
        <v>2461</v>
      </c>
      <c r="B1793" s="114">
        <v>2</v>
      </c>
      <c r="C1793" s="116">
        <v>0.004429545375993029</v>
      </c>
      <c r="D1793" s="114" t="s">
        <v>1715</v>
      </c>
      <c r="E1793" s="114" t="b">
        <v>0</v>
      </c>
      <c r="F1793" s="114" t="b">
        <v>1</v>
      </c>
      <c r="G1793" s="114" t="b">
        <v>0</v>
      </c>
    </row>
    <row r="1794" spans="1:7" ht="15">
      <c r="A1794" s="114" t="s">
        <v>2462</v>
      </c>
      <c r="B1794" s="114">
        <v>2</v>
      </c>
      <c r="C1794" s="116">
        <v>0.004429545375993029</v>
      </c>
      <c r="D1794" s="114" t="s">
        <v>1715</v>
      </c>
      <c r="E1794" s="114" t="b">
        <v>1</v>
      </c>
      <c r="F1794" s="114" t="b">
        <v>0</v>
      </c>
      <c r="G1794" s="114" t="b">
        <v>0</v>
      </c>
    </row>
    <row r="1795" spans="1:7" ht="15">
      <c r="A1795" s="114" t="s">
        <v>1873</v>
      </c>
      <c r="B1795" s="114">
        <v>2</v>
      </c>
      <c r="C1795" s="116">
        <v>0.004429545375993029</v>
      </c>
      <c r="D1795" s="114" t="s">
        <v>1715</v>
      </c>
      <c r="E1795" s="114" t="b">
        <v>0</v>
      </c>
      <c r="F1795" s="114" t="b">
        <v>0</v>
      </c>
      <c r="G1795" s="114" t="b">
        <v>0</v>
      </c>
    </row>
    <row r="1796" spans="1:7" ht="15">
      <c r="A1796" s="114" t="s">
        <v>2456</v>
      </c>
      <c r="B1796" s="114">
        <v>2</v>
      </c>
      <c r="C1796" s="116">
        <v>0.004429545375993029</v>
      </c>
      <c r="D1796" s="114" t="s">
        <v>1715</v>
      </c>
      <c r="E1796" s="114" t="b">
        <v>0</v>
      </c>
      <c r="F1796" s="114" t="b">
        <v>1</v>
      </c>
      <c r="G1796" s="114" t="b">
        <v>0</v>
      </c>
    </row>
    <row r="1797" spans="1:7" ht="15">
      <c r="A1797" s="114" t="s">
        <v>2453</v>
      </c>
      <c r="B1797" s="114">
        <v>2</v>
      </c>
      <c r="C1797" s="116">
        <v>0.004429545375993029</v>
      </c>
      <c r="D1797" s="114" t="s">
        <v>1715</v>
      </c>
      <c r="E1797" s="114" t="b">
        <v>0</v>
      </c>
      <c r="F1797" s="114" t="b">
        <v>0</v>
      </c>
      <c r="G1797" s="114" t="b">
        <v>0</v>
      </c>
    </row>
    <row r="1798" spans="1:7" ht="15">
      <c r="A1798" s="114" t="s">
        <v>2454</v>
      </c>
      <c r="B1798" s="114">
        <v>2</v>
      </c>
      <c r="C1798" s="116">
        <v>0.004429545375993029</v>
      </c>
      <c r="D1798" s="114" t="s">
        <v>1715</v>
      </c>
      <c r="E1798" s="114" t="b">
        <v>1</v>
      </c>
      <c r="F1798" s="114" t="b">
        <v>0</v>
      </c>
      <c r="G1798" s="114" t="b">
        <v>0</v>
      </c>
    </row>
    <row r="1799" spans="1:7" ht="15">
      <c r="A1799" s="114" t="s">
        <v>2451</v>
      </c>
      <c r="B1799" s="114">
        <v>2</v>
      </c>
      <c r="C1799" s="116">
        <v>0.004429545375993029</v>
      </c>
      <c r="D1799" s="114" t="s">
        <v>1715</v>
      </c>
      <c r="E1799" s="114" t="b">
        <v>0</v>
      </c>
      <c r="F1799" s="114" t="b">
        <v>0</v>
      </c>
      <c r="G1799" s="114" t="b">
        <v>0</v>
      </c>
    </row>
    <row r="1800" spans="1:7" ht="15">
      <c r="A1800" s="114" t="s">
        <v>1745</v>
      </c>
      <c r="B1800" s="114">
        <v>57</v>
      </c>
      <c r="C1800" s="116">
        <v>0.014018716509199008</v>
      </c>
      <c r="D1800" s="114" t="s">
        <v>1716</v>
      </c>
      <c r="E1800" s="114" t="b">
        <v>0</v>
      </c>
      <c r="F1800" s="114" t="b">
        <v>0</v>
      </c>
      <c r="G1800" s="114" t="b">
        <v>0</v>
      </c>
    </row>
    <row r="1801" spans="1:7" ht="15">
      <c r="A1801" s="114" t="s">
        <v>1740</v>
      </c>
      <c r="B1801" s="114">
        <v>42</v>
      </c>
      <c r="C1801" s="116">
        <v>0.01345383168288069</v>
      </c>
      <c r="D1801" s="114" t="s">
        <v>1716</v>
      </c>
      <c r="E1801" s="114" t="b">
        <v>0</v>
      </c>
      <c r="F1801" s="114" t="b">
        <v>0</v>
      </c>
      <c r="G1801" s="114" t="b">
        <v>0</v>
      </c>
    </row>
    <row r="1802" spans="1:7" ht="15">
      <c r="A1802" s="114" t="s">
        <v>1761</v>
      </c>
      <c r="B1802" s="114">
        <v>15</v>
      </c>
      <c r="C1802" s="116">
        <v>0.004804939886743103</v>
      </c>
      <c r="D1802" s="114" t="s">
        <v>1716</v>
      </c>
      <c r="E1802" s="114" t="b">
        <v>0</v>
      </c>
      <c r="F1802" s="114" t="b">
        <v>0</v>
      </c>
      <c r="G1802" s="114" t="b">
        <v>0</v>
      </c>
    </row>
    <row r="1803" spans="1:7" ht="15">
      <c r="A1803" s="114" t="s">
        <v>1775</v>
      </c>
      <c r="B1803" s="114">
        <v>15</v>
      </c>
      <c r="C1803" s="116">
        <v>0.007378271846946847</v>
      </c>
      <c r="D1803" s="114" t="s">
        <v>1716</v>
      </c>
      <c r="E1803" s="114" t="b">
        <v>0</v>
      </c>
      <c r="F1803" s="114" t="b">
        <v>0</v>
      </c>
      <c r="G1803" s="114" t="b">
        <v>0</v>
      </c>
    </row>
    <row r="1804" spans="1:7" ht="15">
      <c r="A1804" s="114" t="s">
        <v>1801</v>
      </c>
      <c r="B1804" s="114">
        <v>10</v>
      </c>
      <c r="C1804" s="116">
        <v>0.011851574632440205</v>
      </c>
      <c r="D1804" s="114" t="s">
        <v>1716</v>
      </c>
      <c r="E1804" s="114" t="b">
        <v>0</v>
      </c>
      <c r="F1804" s="114" t="b">
        <v>0</v>
      </c>
      <c r="G1804" s="114" t="b">
        <v>0</v>
      </c>
    </row>
    <row r="1805" spans="1:7" ht="15">
      <c r="A1805" s="114" t="s">
        <v>1755</v>
      </c>
      <c r="B1805" s="114">
        <v>9</v>
      </c>
      <c r="C1805" s="116">
        <v>0.004426963108168108</v>
      </c>
      <c r="D1805" s="114" t="s">
        <v>1716</v>
      </c>
      <c r="E1805" s="114" t="b">
        <v>0</v>
      </c>
      <c r="F1805" s="114" t="b">
        <v>0</v>
      </c>
      <c r="G1805" s="114" t="b">
        <v>0</v>
      </c>
    </row>
    <row r="1806" spans="1:7" ht="15">
      <c r="A1806" s="114" t="s">
        <v>1812</v>
      </c>
      <c r="B1806" s="114">
        <v>8</v>
      </c>
      <c r="C1806" s="116">
        <v>0.009481259705952164</v>
      </c>
      <c r="D1806" s="114" t="s">
        <v>1716</v>
      </c>
      <c r="E1806" s="114" t="b">
        <v>0</v>
      </c>
      <c r="F1806" s="114" t="b">
        <v>0</v>
      </c>
      <c r="G1806" s="114" t="b">
        <v>0</v>
      </c>
    </row>
    <row r="1807" spans="1:7" ht="15">
      <c r="A1807" s="114" t="s">
        <v>1830</v>
      </c>
      <c r="B1807" s="114">
        <v>8</v>
      </c>
      <c r="C1807" s="116">
        <v>0.005653888860498707</v>
      </c>
      <c r="D1807" s="114" t="s">
        <v>1716</v>
      </c>
      <c r="E1807" s="114" t="b">
        <v>0</v>
      </c>
      <c r="F1807" s="114" t="b">
        <v>0</v>
      </c>
      <c r="G1807" s="114" t="b">
        <v>0</v>
      </c>
    </row>
    <row r="1808" spans="1:7" ht="15">
      <c r="A1808" s="114" t="s">
        <v>1764</v>
      </c>
      <c r="B1808" s="114">
        <v>7</v>
      </c>
      <c r="C1808" s="116">
        <v>0.016592204485416286</v>
      </c>
      <c r="D1808" s="114" t="s">
        <v>1716</v>
      </c>
      <c r="E1808" s="114" t="b">
        <v>0</v>
      </c>
      <c r="F1808" s="114" t="b">
        <v>0</v>
      </c>
      <c r="G1808" s="114" t="b">
        <v>0</v>
      </c>
    </row>
    <row r="1809" spans="1:7" ht="15">
      <c r="A1809" s="114" t="s">
        <v>1820</v>
      </c>
      <c r="B1809" s="114">
        <v>6</v>
      </c>
      <c r="C1809" s="116">
        <v>0.010666417169196184</v>
      </c>
      <c r="D1809" s="114" t="s">
        <v>1716</v>
      </c>
      <c r="E1809" s="114" t="b">
        <v>0</v>
      </c>
      <c r="F1809" s="114" t="b">
        <v>0</v>
      </c>
      <c r="G1809" s="114" t="b">
        <v>0</v>
      </c>
    </row>
    <row r="1810" spans="1:7" ht="15">
      <c r="A1810" s="114" t="s">
        <v>1950</v>
      </c>
      <c r="B1810" s="114">
        <v>6</v>
      </c>
      <c r="C1810" s="116">
        <v>0.008586599148853492</v>
      </c>
      <c r="D1810" s="114" t="s">
        <v>1716</v>
      </c>
      <c r="E1810" s="114" t="b">
        <v>0</v>
      </c>
      <c r="F1810" s="114" t="b">
        <v>0</v>
      </c>
      <c r="G1810" s="114" t="b">
        <v>0</v>
      </c>
    </row>
    <row r="1811" spans="1:7" ht="15">
      <c r="A1811" s="114" t="s">
        <v>1923</v>
      </c>
      <c r="B1811" s="114">
        <v>6</v>
      </c>
      <c r="C1811" s="116">
        <v>0.00503112675912143</v>
      </c>
      <c r="D1811" s="114" t="s">
        <v>1716</v>
      </c>
      <c r="E1811" s="114" t="b">
        <v>0</v>
      </c>
      <c r="F1811" s="114" t="b">
        <v>0</v>
      </c>
      <c r="G1811" s="114" t="b">
        <v>0</v>
      </c>
    </row>
    <row r="1812" spans="1:7" ht="15">
      <c r="A1812" s="114" t="s">
        <v>1949</v>
      </c>
      <c r="B1812" s="114">
        <v>6</v>
      </c>
      <c r="C1812" s="116">
        <v>0.014221889558928245</v>
      </c>
      <c r="D1812" s="114" t="s">
        <v>1716</v>
      </c>
      <c r="E1812" s="114" t="b">
        <v>0</v>
      </c>
      <c r="F1812" s="114" t="b">
        <v>0</v>
      </c>
      <c r="G1812" s="114" t="b">
        <v>0</v>
      </c>
    </row>
    <row r="1813" spans="1:7" ht="15">
      <c r="A1813" s="114" t="s">
        <v>1975</v>
      </c>
      <c r="B1813" s="114">
        <v>6</v>
      </c>
      <c r="C1813" s="116">
        <v>0.014221889558928245</v>
      </c>
      <c r="D1813" s="114" t="s">
        <v>1716</v>
      </c>
      <c r="E1813" s="114" t="b">
        <v>0</v>
      </c>
      <c r="F1813" s="114" t="b">
        <v>0</v>
      </c>
      <c r="G1813" s="114" t="b">
        <v>0</v>
      </c>
    </row>
    <row r="1814" spans="1:7" ht="15">
      <c r="A1814" s="114" t="s">
        <v>1757</v>
      </c>
      <c r="B1814" s="114">
        <v>5</v>
      </c>
      <c r="C1814" s="116">
        <v>0.008888680974330153</v>
      </c>
      <c r="D1814" s="114" t="s">
        <v>1716</v>
      </c>
      <c r="E1814" s="114" t="b">
        <v>0</v>
      </c>
      <c r="F1814" s="114" t="b">
        <v>0</v>
      </c>
      <c r="G1814" s="114" t="b">
        <v>0</v>
      </c>
    </row>
    <row r="1815" spans="1:7" ht="15">
      <c r="A1815" s="114" t="s">
        <v>1792</v>
      </c>
      <c r="B1815" s="114">
        <v>4</v>
      </c>
      <c r="C1815" s="116">
        <v>0.007110944779464122</v>
      </c>
      <c r="D1815" s="114" t="s">
        <v>1716</v>
      </c>
      <c r="E1815" s="114" t="b">
        <v>0</v>
      </c>
      <c r="F1815" s="114" t="b">
        <v>0</v>
      </c>
      <c r="G1815" s="114" t="b">
        <v>0</v>
      </c>
    </row>
    <row r="1816" spans="1:7" ht="15">
      <c r="A1816" s="114" t="s">
        <v>1809</v>
      </c>
      <c r="B1816" s="114">
        <v>4</v>
      </c>
      <c r="C1816" s="116">
        <v>0.007110944779464122</v>
      </c>
      <c r="D1816" s="114" t="s">
        <v>1716</v>
      </c>
      <c r="E1816" s="114" t="b">
        <v>0</v>
      </c>
      <c r="F1816" s="114" t="b">
        <v>0</v>
      </c>
      <c r="G1816" s="114" t="b">
        <v>0</v>
      </c>
    </row>
    <row r="1817" spans="1:7" ht="15">
      <c r="A1817" s="114" t="s">
        <v>1776</v>
      </c>
      <c r="B1817" s="114">
        <v>4</v>
      </c>
      <c r="C1817" s="116">
        <v>0.007110944779464122</v>
      </c>
      <c r="D1817" s="114" t="s">
        <v>1716</v>
      </c>
      <c r="E1817" s="114" t="b">
        <v>0</v>
      </c>
      <c r="F1817" s="114" t="b">
        <v>0</v>
      </c>
      <c r="G1817" s="114" t="b">
        <v>0</v>
      </c>
    </row>
    <row r="1818" spans="1:7" ht="15">
      <c r="A1818" s="114" t="s">
        <v>1882</v>
      </c>
      <c r="B1818" s="114">
        <v>4</v>
      </c>
      <c r="C1818" s="116">
        <v>0.009481259705952164</v>
      </c>
      <c r="D1818" s="114" t="s">
        <v>1716</v>
      </c>
      <c r="E1818" s="114" t="b">
        <v>0</v>
      </c>
      <c r="F1818" s="114" t="b">
        <v>0</v>
      </c>
      <c r="G1818" s="114" t="b">
        <v>0</v>
      </c>
    </row>
    <row r="1819" spans="1:7" ht="15">
      <c r="A1819" s="114" t="s">
        <v>1765</v>
      </c>
      <c r="B1819" s="114">
        <v>4</v>
      </c>
      <c r="C1819" s="116">
        <v>0.005724399432568994</v>
      </c>
      <c r="D1819" s="114" t="s">
        <v>1716</v>
      </c>
      <c r="E1819" s="114" t="b">
        <v>0</v>
      </c>
      <c r="F1819" s="114" t="b">
        <v>0</v>
      </c>
      <c r="G1819" s="114" t="b">
        <v>0</v>
      </c>
    </row>
    <row r="1820" spans="1:7" ht="15">
      <c r="A1820" s="114" t="s">
        <v>1739</v>
      </c>
      <c r="B1820" s="114">
        <v>4</v>
      </c>
      <c r="C1820" s="116">
        <v>0.004740629852976082</v>
      </c>
      <c r="D1820" s="114" t="s">
        <v>1716</v>
      </c>
      <c r="E1820" s="114" t="b">
        <v>0</v>
      </c>
      <c r="F1820" s="114" t="b">
        <v>0</v>
      </c>
      <c r="G1820" s="114" t="b">
        <v>0</v>
      </c>
    </row>
    <row r="1821" spans="1:7" ht="15">
      <c r="A1821" s="114" t="s">
        <v>2094</v>
      </c>
      <c r="B1821" s="114">
        <v>4</v>
      </c>
      <c r="C1821" s="116">
        <v>0.009481259705952164</v>
      </c>
      <c r="D1821" s="114" t="s">
        <v>1716</v>
      </c>
      <c r="E1821" s="114" t="b">
        <v>0</v>
      </c>
      <c r="F1821" s="114" t="b">
        <v>0</v>
      </c>
      <c r="G1821" s="114" t="b">
        <v>0</v>
      </c>
    </row>
    <row r="1822" spans="1:7" ht="15">
      <c r="A1822" s="114" t="s">
        <v>2093</v>
      </c>
      <c r="B1822" s="114">
        <v>4</v>
      </c>
      <c r="C1822" s="116">
        <v>0.009481259705952164</v>
      </c>
      <c r="D1822" s="114" t="s">
        <v>1716</v>
      </c>
      <c r="E1822" s="114" t="b">
        <v>0</v>
      </c>
      <c r="F1822" s="114" t="b">
        <v>0</v>
      </c>
      <c r="G1822" s="114" t="b">
        <v>0</v>
      </c>
    </row>
    <row r="1823" spans="1:7" ht="15">
      <c r="A1823" s="114" t="s">
        <v>1770</v>
      </c>
      <c r="B1823" s="114">
        <v>4</v>
      </c>
      <c r="C1823" s="116">
        <v>0.007110944779464122</v>
      </c>
      <c r="D1823" s="114" t="s">
        <v>1716</v>
      </c>
      <c r="E1823" s="114" t="b">
        <v>0</v>
      </c>
      <c r="F1823" s="114" t="b">
        <v>0</v>
      </c>
      <c r="G1823" s="114" t="b">
        <v>0</v>
      </c>
    </row>
    <row r="1824" spans="1:7" ht="15">
      <c r="A1824" s="114" t="s">
        <v>1944</v>
      </c>
      <c r="B1824" s="114">
        <v>4</v>
      </c>
      <c r="C1824" s="116">
        <v>0.007110944779464122</v>
      </c>
      <c r="D1824" s="114" t="s">
        <v>1716</v>
      </c>
      <c r="E1824" s="114" t="b">
        <v>0</v>
      </c>
      <c r="F1824" s="114" t="b">
        <v>0</v>
      </c>
      <c r="G1824" s="114" t="b">
        <v>0</v>
      </c>
    </row>
    <row r="1825" spans="1:7" ht="15">
      <c r="A1825" s="114" t="s">
        <v>1774</v>
      </c>
      <c r="B1825" s="114">
        <v>4</v>
      </c>
      <c r="C1825" s="116">
        <v>0.007110944779464122</v>
      </c>
      <c r="D1825" s="114" t="s">
        <v>1716</v>
      </c>
      <c r="E1825" s="114" t="b">
        <v>0</v>
      </c>
      <c r="F1825" s="114" t="b">
        <v>1</v>
      </c>
      <c r="G1825" s="114" t="b">
        <v>0</v>
      </c>
    </row>
    <row r="1826" spans="1:7" ht="15">
      <c r="A1826" s="114" t="s">
        <v>1925</v>
      </c>
      <c r="B1826" s="114">
        <v>4</v>
      </c>
      <c r="C1826" s="116">
        <v>0.009481259705952164</v>
      </c>
      <c r="D1826" s="114" t="s">
        <v>1716</v>
      </c>
      <c r="E1826" s="114" t="b">
        <v>0</v>
      </c>
      <c r="F1826" s="114" t="b">
        <v>0</v>
      </c>
      <c r="G1826" s="114" t="b">
        <v>0</v>
      </c>
    </row>
    <row r="1827" spans="1:7" ht="15">
      <c r="A1827" s="114" t="s">
        <v>1926</v>
      </c>
      <c r="B1827" s="114">
        <v>4</v>
      </c>
      <c r="C1827" s="116">
        <v>0.009481259705952164</v>
      </c>
      <c r="D1827" s="114" t="s">
        <v>1716</v>
      </c>
      <c r="E1827" s="114" t="b">
        <v>0</v>
      </c>
      <c r="F1827" s="114" t="b">
        <v>0</v>
      </c>
      <c r="G1827" s="114" t="b">
        <v>0</v>
      </c>
    </row>
    <row r="1828" spans="1:7" ht="15">
      <c r="A1828" s="114" t="s">
        <v>1808</v>
      </c>
      <c r="B1828" s="114">
        <v>3</v>
      </c>
      <c r="C1828" s="116">
        <v>0.004293299574426746</v>
      </c>
      <c r="D1828" s="114" t="s">
        <v>1716</v>
      </c>
      <c r="E1828" s="114" t="b">
        <v>0</v>
      </c>
      <c r="F1828" s="114" t="b">
        <v>0</v>
      </c>
      <c r="G1828" s="114" t="b">
        <v>0</v>
      </c>
    </row>
    <row r="1829" spans="1:7" ht="15">
      <c r="A1829" s="114" t="s">
        <v>1791</v>
      </c>
      <c r="B1829" s="114">
        <v>3</v>
      </c>
      <c r="C1829" s="116">
        <v>0.005333208584598092</v>
      </c>
      <c r="D1829" s="114" t="s">
        <v>1716</v>
      </c>
      <c r="E1829" s="114" t="b">
        <v>0</v>
      </c>
      <c r="F1829" s="114" t="b">
        <v>0</v>
      </c>
      <c r="G1829" s="114" t="b">
        <v>0</v>
      </c>
    </row>
    <row r="1830" spans="1:7" ht="15">
      <c r="A1830" s="114" t="s">
        <v>1766</v>
      </c>
      <c r="B1830" s="114">
        <v>3</v>
      </c>
      <c r="C1830" s="116">
        <v>0.004293299574426746</v>
      </c>
      <c r="D1830" s="114" t="s">
        <v>1716</v>
      </c>
      <c r="E1830" s="114" t="b">
        <v>0</v>
      </c>
      <c r="F1830" s="114" t="b">
        <v>1</v>
      </c>
      <c r="G1830" s="114" t="b">
        <v>0</v>
      </c>
    </row>
    <row r="1831" spans="1:7" ht="15">
      <c r="A1831" s="114" t="s">
        <v>1782</v>
      </c>
      <c r="B1831" s="114">
        <v>3</v>
      </c>
      <c r="C1831" s="116">
        <v>0.007110944779464123</v>
      </c>
      <c r="D1831" s="114" t="s">
        <v>1716</v>
      </c>
      <c r="E1831" s="114" t="b">
        <v>0</v>
      </c>
      <c r="F1831" s="114" t="b">
        <v>0</v>
      </c>
      <c r="G1831" s="114" t="b">
        <v>0</v>
      </c>
    </row>
    <row r="1832" spans="1:7" ht="15">
      <c r="A1832" s="114" t="s">
        <v>1920</v>
      </c>
      <c r="B1832" s="114">
        <v>3</v>
      </c>
      <c r="C1832" s="116">
        <v>0.005333208584598092</v>
      </c>
      <c r="D1832" s="114" t="s">
        <v>1716</v>
      </c>
      <c r="E1832" s="114" t="b">
        <v>0</v>
      </c>
      <c r="F1832" s="114" t="b">
        <v>0</v>
      </c>
      <c r="G1832" s="114" t="b">
        <v>0</v>
      </c>
    </row>
    <row r="1833" spans="1:7" ht="15">
      <c r="A1833" s="114" t="s">
        <v>2092</v>
      </c>
      <c r="B1833" s="114">
        <v>3</v>
      </c>
      <c r="C1833" s="116">
        <v>0.005333208584598092</v>
      </c>
      <c r="D1833" s="114" t="s">
        <v>1716</v>
      </c>
      <c r="E1833" s="114" t="b">
        <v>1</v>
      </c>
      <c r="F1833" s="114" t="b">
        <v>0</v>
      </c>
      <c r="G1833" s="114" t="b">
        <v>0</v>
      </c>
    </row>
    <row r="1834" spans="1:7" ht="15">
      <c r="A1834" s="114" t="s">
        <v>2076</v>
      </c>
      <c r="B1834" s="114">
        <v>3</v>
      </c>
      <c r="C1834" s="116">
        <v>0.007110944779464123</v>
      </c>
      <c r="D1834" s="114" t="s">
        <v>1716</v>
      </c>
      <c r="E1834" s="114" t="b">
        <v>0</v>
      </c>
      <c r="F1834" s="114" t="b">
        <v>0</v>
      </c>
      <c r="G1834" s="114" t="b">
        <v>0</v>
      </c>
    </row>
    <row r="1835" spans="1:7" ht="15">
      <c r="A1835" s="114" t="s">
        <v>1741</v>
      </c>
      <c r="B1835" s="114">
        <v>3</v>
      </c>
      <c r="C1835" s="116">
        <v>0.004293299574426746</v>
      </c>
      <c r="D1835" s="114" t="s">
        <v>1716</v>
      </c>
      <c r="E1835" s="114" t="b">
        <v>0</v>
      </c>
      <c r="F1835" s="114" t="b">
        <v>0</v>
      </c>
      <c r="G1835" s="114" t="b">
        <v>0</v>
      </c>
    </row>
    <row r="1836" spans="1:7" ht="15">
      <c r="A1836" s="114" t="s">
        <v>1743</v>
      </c>
      <c r="B1836" s="114">
        <v>3</v>
      </c>
      <c r="C1836" s="116">
        <v>0.004293299574426746</v>
      </c>
      <c r="D1836" s="114" t="s">
        <v>1716</v>
      </c>
      <c r="E1836" s="114" t="b">
        <v>0</v>
      </c>
      <c r="F1836" s="114" t="b">
        <v>0</v>
      </c>
      <c r="G1836" s="114" t="b">
        <v>0</v>
      </c>
    </row>
    <row r="1837" spans="1:7" ht="15">
      <c r="A1837" s="114" t="s">
        <v>1747</v>
      </c>
      <c r="B1837" s="114">
        <v>3</v>
      </c>
      <c r="C1837" s="116">
        <v>0.004293299574426746</v>
      </c>
      <c r="D1837" s="114" t="s">
        <v>1716</v>
      </c>
      <c r="E1837" s="114" t="b">
        <v>0</v>
      </c>
      <c r="F1837" s="114" t="b">
        <v>0</v>
      </c>
      <c r="G1837" s="114" t="b">
        <v>0</v>
      </c>
    </row>
    <row r="1838" spans="1:7" ht="15">
      <c r="A1838" s="114" t="s">
        <v>2228</v>
      </c>
      <c r="B1838" s="114">
        <v>3</v>
      </c>
      <c r="C1838" s="116">
        <v>0.007110944779464123</v>
      </c>
      <c r="D1838" s="114" t="s">
        <v>1716</v>
      </c>
      <c r="E1838" s="114" t="b">
        <v>0</v>
      </c>
      <c r="F1838" s="114" t="b">
        <v>0</v>
      </c>
      <c r="G1838" s="114" t="b">
        <v>0</v>
      </c>
    </row>
    <row r="1839" spans="1:7" ht="15">
      <c r="A1839" s="114" t="s">
        <v>2227</v>
      </c>
      <c r="B1839" s="114">
        <v>3</v>
      </c>
      <c r="C1839" s="116">
        <v>0.007110944779464123</v>
      </c>
      <c r="D1839" s="114" t="s">
        <v>1716</v>
      </c>
      <c r="E1839" s="114" t="b">
        <v>0</v>
      </c>
      <c r="F1839" s="114" t="b">
        <v>0</v>
      </c>
      <c r="G1839" s="114" t="b">
        <v>0</v>
      </c>
    </row>
    <row r="1840" spans="1:7" ht="15">
      <c r="A1840" s="114" t="s">
        <v>1879</v>
      </c>
      <c r="B1840" s="114">
        <v>3</v>
      </c>
      <c r="C1840" s="116">
        <v>0.004293299574426746</v>
      </c>
      <c r="D1840" s="114" t="s">
        <v>1716</v>
      </c>
      <c r="E1840" s="114" t="b">
        <v>0</v>
      </c>
      <c r="F1840" s="114" t="b">
        <v>0</v>
      </c>
      <c r="G1840" s="114" t="b">
        <v>0</v>
      </c>
    </row>
    <row r="1841" spans="1:7" ht="15">
      <c r="A1841" s="114" t="s">
        <v>2225</v>
      </c>
      <c r="B1841" s="114">
        <v>3</v>
      </c>
      <c r="C1841" s="116">
        <v>0.007110944779464123</v>
      </c>
      <c r="D1841" s="114" t="s">
        <v>1716</v>
      </c>
      <c r="E1841" s="114" t="b">
        <v>0</v>
      </c>
      <c r="F1841" s="114" t="b">
        <v>0</v>
      </c>
      <c r="G1841" s="114" t="b">
        <v>0</v>
      </c>
    </row>
    <row r="1842" spans="1:7" ht="15">
      <c r="A1842" s="114" t="s">
        <v>2226</v>
      </c>
      <c r="B1842" s="114">
        <v>3</v>
      </c>
      <c r="C1842" s="116">
        <v>0.007110944779464123</v>
      </c>
      <c r="D1842" s="114" t="s">
        <v>1716</v>
      </c>
      <c r="E1842" s="114" t="b">
        <v>0</v>
      </c>
      <c r="F1842" s="114" t="b">
        <v>0</v>
      </c>
      <c r="G1842" s="114" t="b">
        <v>0</v>
      </c>
    </row>
    <row r="1843" spans="1:7" ht="15">
      <c r="A1843" s="114" t="s">
        <v>1827</v>
      </c>
      <c r="B1843" s="114">
        <v>3</v>
      </c>
      <c r="C1843" s="116">
        <v>0.007110944779464123</v>
      </c>
      <c r="D1843" s="114" t="s">
        <v>1716</v>
      </c>
      <c r="E1843" s="114" t="b">
        <v>0</v>
      </c>
      <c r="F1843" s="114" t="b">
        <v>0</v>
      </c>
      <c r="G1843" s="114" t="b">
        <v>0</v>
      </c>
    </row>
    <row r="1844" spans="1:7" ht="15">
      <c r="A1844" s="114" t="s">
        <v>2220</v>
      </c>
      <c r="B1844" s="114">
        <v>3</v>
      </c>
      <c r="C1844" s="116">
        <v>0.007110944779464123</v>
      </c>
      <c r="D1844" s="114" t="s">
        <v>1716</v>
      </c>
      <c r="E1844" s="114" t="b">
        <v>0</v>
      </c>
      <c r="F1844" s="114" t="b">
        <v>0</v>
      </c>
      <c r="G1844" s="114" t="b">
        <v>0</v>
      </c>
    </row>
    <row r="1845" spans="1:7" ht="15">
      <c r="A1845" s="114" t="s">
        <v>1922</v>
      </c>
      <c r="B1845" s="114">
        <v>2</v>
      </c>
      <c r="C1845" s="116">
        <v>0.003555472389732061</v>
      </c>
      <c r="D1845" s="114" t="s">
        <v>1716</v>
      </c>
      <c r="E1845" s="114" t="b">
        <v>0</v>
      </c>
      <c r="F1845" s="114" t="b">
        <v>0</v>
      </c>
      <c r="G1845" s="114" t="b">
        <v>0</v>
      </c>
    </row>
    <row r="1846" spans="1:7" ht="15">
      <c r="A1846" s="114" t="s">
        <v>1900</v>
      </c>
      <c r="B1846" s="114">
        <v>2</v>
      </c>
      <c r="C1846" s="116">
        <v>0.003555472389732061</v>
      </c>
      <c r="D1846" s="114" t="s">
        <v>1716</v>
      </c>
      <c r="E1846" s="114" t="b">
        <v>0</v>
      </c>
      <c r="F1846" s="114" t="b">
        <v>0</v>
      </c>
      <c r="G1846" s="114" t="b">
        <v>0</v>
      </c>
    </row>
    <row r="1847" spans="1:7" ht="15">
      <c r="A1847" s="114" t="s">
        <v>1897</v>
      </c>
      <c r="B1847" s="114">
        <v>2</v>
      </c>
      <c r="C1847" s="116">
        <v>0.003555472389732061</v>
      </c>
      <c r="D1847" s="114" t="s">
        <v>1716</v>
      </c>
      <c r="E1847" s="114" t="b">
        <v>0</v>
      </c>
      <c r="F1847" s="114" t="b">
        <v>0</v>
      </c>
      <c r="G1847" s="114" t="b">
        <v>0</v>
      </c>
    </row>
    <row r="1848" spans="1:7" ht="15">
      <c r="A1848" s="114" t="s">
        <v>2445</v>
      </c>
      <c r="B1848" s="114">
        <v>2</v>
      </c>
      <c r="C1848" s="116">
        <v>0.004740629852976082</v>
      </c>
      <c r="D1848" s="114" t="s">
        <v>1716</v>
      </c>
      <c r="E1848" s="114" t="b">
        <v>1</v>
      </c>
      <c r="F1848" s="114" t="b">
        <v>0</v>
      </c>
      <c r="G1848" s="114" t="b">
        <v>0</v>
      </c>
    </row>
    <row r="1849" spans="1:7" ht="15">
      <c r="A1849" s="114" t="s">
        <v>2446</v>
      </c>
      <c r="B1849" s="114">
        <v>2</v>
      </c>
      <c r="C1849" s="116">
        <v>0.004740629852976082</v>
      </c>
      <c r="D1849" s="114" t="s">
        <v>1716</v>
      </c>
      <c r="E1849" s="114" t="b">
        <v>0</v>
      </c>
      <c r="F1849" s="114" t="b">
        <v>0</v>
      </c>
      <c r="G1849" s="114" t="b">
        <v>0</v>
      </c>
    </row>
    <row r="1850" spans="1:7" ht="15">
      <c r="A1850" s="114" t="s">
        <v>2447</v>
      </c>
      <c r="B1850" s="114">
        <v>2</v>
      </c>
      <c r="C1850" s="116">
        <v>0.004740629852976082</v>
      </c>
      <c r="D1850" s="114" t="s">
        <v>1716</v>
      </c>
      <c r="E1850" s="114" t="b">
        <v>0</v>
      </c>
      <c r="F1850" s="114" t="b">
        <v>0</v>
      </c>
      <c r="G1850" s="114" t="b">
        <v>0</v>
      </c>
    </row>
    <row r="1851" spans="1:7" ht="15">
      <c r="A1851" s="114" t="s">
        <v>2042</v>
      </c>
      <c r="B1851" s="114">
        <v>2</v>
      </c>
      <c r="C1851" s="116">
        <v>0.004740629852976082</v>
      </c>
      <c r="D1851" s="114" t="s">
        <v>1716</v>
      </c>
      <c r="E1851" s="114" t="b">
        <v>0</v>
      </c>
      <c r="F1851" s="114" t="b">
        <v>0</v>
      </c>
      <c r="G1851" s="114" t="b">
        <v>0</v>
      </c>
    </row>
    <row r="1852" spans="1:7" ht="15">
      <c r="A1852" s="114" t="s">
        <v>2441</v>
      </c>
      <c r="B1852" s="114">
        <v>2</v>
      </c>
      <c r="C1852" s="116">
        <v>0.004740629852976082</v>
      </c>
      <c r="D1852" s="114" t="s">
        <v>1716</v>
      </c>
      <c r="E1852" s="114" t="b">
        <v>0</v>
      </c>
      <c r="F1852" s="114" t="b">
        <v>0</v>
      </c>
      <c r="G1852" s="114" t="b">
        <v>0</v>
      </c>
    </row>
    <row r="1853" spans="1:7" ht="15">
      <c r="A1853" s="114" t="s">
        <v>2434</v>
      </c>
      <c r="B1853" s="114">
        <v>2</v>
      </c>
      <c r="C1853" s="116">
        <v>0.003555472389732061</v>
      </c>
      <c r="D1853" s="114" t="s">
        <v>1716</v>
      </c>
      <c r="E1853" s="114" t="b">
        <v>0</v>
      </c>
      <c r="F1853" s="114" t="b">
        <v>0</v>
      </c>
      <c r="G1853" s="114" t="b">
        <v>0</v>
      </c>
    </row>
    <row r="1854" spans="1:7" ht="15">
      <c r="A1854" s="114" t="s">
        <v>2442</v>
      </c>
      <c r="B1854" s="114">
        <v>2</v>
      </c>
      <c r="C1854" s="116">
        <v>0.004740629852976082</v>
      </c>
      <c r="D1854" s="114" t="s">
        <v>1716</v>
      </c>
      <c r="E1854" s="114" t="b">
        <v>0</v>
      </c>
      <c r="F1854" s="114" t="b">
        <v>0</v>
      </c>
      <c r="G1854" s="114" t="b">
        <v>0</v>
      </c>
    </row>
    <row r="1855" spans="1:7" ht="15">
      <c r="A1855" s="114" t="s">
        <v>1790</v>
      </c>
      <c r="B1855" s="114">
        <v>2</v>
      </c>
      <c r="C1855" s="116">
        <v>0.003555472389732061</v>
      </c>
      <c r="D1855" s="114" t="s">
        <v>1716</v>
      </c>
      <c r="E1855" s="114" t="b">
        <v>0</v>
      </c>
      <c r="F1855" s="114" t="b">
        <v>0</v>
      </c>
      <c r="G1855" s="114" t="b">
        <v>0</v>
      </c>
    </row>
    <row r="1856" spans="1:7" ht="15">
      <c r="A1856" s="114" t="s">
        <v>2443</v>
      </c>
      <c r="B1856" s="114">
        <v>2</v>
      </c>
      <c r="C1856" s="116">
        <v>0.004740629852976082</v>
      </c>
      <c r="D1856" s="114" t="s">
        <v>1716</v>
      </c>
      <c r="E1856" s="114" t="b">
        <v>0</v>
      </c>
      <c r="F1856" s="114" t="b">
        <v>0</v>
      </c>
      <c r="G1856" s="114" t="b">
        <v>0</v>
      </c>
    </row>
    <row r="1857" spans="1:7" ht="15">
      <c r="A1857" s="114" t="s">
        <v>2437</v>
      </c>
      <c r="B1857" s="114">
        <v>2</v>
      </c>
      <c r="C1857" s="116">
        <v>0.004740629852976082</v>
      </c>
      <c r="D1857" s="114" t="s">
        <v>1716</v>
      </c>
      <c r="E1857" s="114" t="b">
        <v>0</v>
      </c>
      <c r="F1857" s="114" t="b">
        <v>0</v>
      </c>
      <c r="G1857" s="114" t="b">
        <v>0</v>
      </c>
    </row>
    <row r="1858" spans="1:7" ht="15">
      <c r="A1858" s="114" t="s">
        <v>2212</v>
      </c>
      <c r="B1858" s="114">
        <v>2</v>
      </c>
      <c r="C1858" s="116">
        <v>0.003555472389732061</v>
      </c>
      <c r="D1858" s="114" t="s">
        <v>1716</v>
      </c>
      <c r="E1858" s="114" t="b">
        <v>0</v>
      </c>
      <c r="F1858" s="114" t="b">
        <v>0</v>
      </c>
      <c r="G1858" s="114" t="b">
        <v>0</v>
      </c>
    </row>
    <row r="1859" spans="1:7" ht="15">
      <c r="A1859" s="114" t="s">
        <v>2438</v>
      </c>
      <c r="B1859" s="114">
        <v>2</v>
      </c>
      <c r="C1859" s="116">
        <v>0.004740629852976082</v>
      </c>
      <c r="D1859" s="114" t="s">
        <v>1716</v>
      </c>
      <c r="E1859" s="114" t="b">
        <v>0</v>
      </c>
      <c r="F1859" s="114" t="b">
        <v>0</v>
      </c>
      <c r="G1859" s="114" t="b">
        <v>0</v>
      </c>
    </row>
    <row r="1860" spans="1:7" ht="15">
      <c r="A1860" s="114" t="s">
        <v>2424</v>
      </c>
      <c r="B1860" s="114">
        <v>2</v>
      </c>
      <c r="C1860" s="116">
        <v>0.003555472389732061</v>
      </c>
      <c r="D1860" s="114" t="s">
        <v>1716</v>
      </c>
      <c r="E1860" s="114" t="b">
        <v>0</v>
      </c>
      <c r="F1860" s="114" t="b">
        <v>0</v>
      </c>
      <c r="G1860" s="114" t="b">
        <v>0</v>
      </c>
    </row>
    <row r="1861" spans="1:7" ht="15">
      <c r="A1861" s="114" t="s">
        <v>2090</v>
      </c>
      <c r="B1861" s="114">
        <v>2</v>
      </c>
      <c r="C1861" s="116">
        <v>0.004740629852976082</v>
      </c>
      <c r="D1861" s="114" t="s">
        <v>1716</v>
      </c>
      <c r="E1861" s="114" t="b">
        <v>0</v>
      </c>
      <c r="F1861" s="114" t="b">
        <v>0</v>
      </c>
      <c r="G1861" s="114" t="b">
        <v>0</v>
      </c>
    </row>
    <row r="1862" spans="1:7" ht="15">
      <c r="A1862" s="114" t="s">
        <v>1793</v>
      </c>
      <c r="B1862" s="114">
        <v>2</v>
      </c>
      <c r="C1862" s="116">
        <v>0.004740629852976082</v>
      </c>
      <c r="D1862" s="114" t="s">
        <v>1716</v>
      </c>
      <c r="E1862" s="114" t="b">
        <v>0</v>
      </c>
      <c r="F1862" s="114" t="b">
        <v>0</v>
      </c>
      <c r="G1862" s="114" t="b">
        <v>0</v>
      </c>
    </row>
    <row r="1863" spans="1:7" ht="15">
      <c r="A1863" s="114" t="s">
        <v>1895</v>
      </c>
      <c r="B1863" s="114">
        <v>2</v>
      </c>
      <c r="C1863" s="116">
        <v>0.003555472389732061</v>
      </c>
      <c r="D1863" s="114" t="s">
        <v>1716</v>
      </c>
      <c r="E1863" s="114" t="b">
        <v>0</v>
      </c>
      <c r="F1863" s="114" t="b">
        <v>0</v>
      </c>
      <c r="G1863" s="114" t="b">
        <v>0</v>
      </c>
    </row>
    <row r="1864" spans="1:7" ht="15">
      <c r="A1864" s="114" t="s">
        <v>1943</v>
      </c>
      <c r="B1864" s="114">
        <v>2</v>
      </c>
      <c r="C1864" s="116">
        <v>0.003555472389732061</v>
      </c>
      <c r="D1864" s="114" t="s">
        <v>1716</v>
      </c>
      <c r="E1864" s="114" t="b">
        <v>0</v>
      </c>
      <c r="F1864" s="114" t="b">
        <v>0</v>
      </c>
      <c r="G1864" s="114" t="b">
        <v>0</v>
      </c>
    </row>
    <row r="1865" spans="1:7" ht="15">
      <c r="A1865" s="114" t="s">
        <v>1881</v>
      </c>
      <c r="B1865" s="114">
        <v>2</v>
      </c>
      <c r="C1865" s="116">
        <v>0.003555472389732061</v>
      </c>
      <c r="D1865" s="114" t="s">
        <v>1716</v>
      </c>
      <c r="E1865" s="114" t="b">
        <v>0</v>
      </c>
      <c r="F1865" s="114" t="b">
        <v>0</v>
      </c>
      <c r="G1865" s="114" t="b">
        <v>0</v>
      </c>
    </row>
    <row r="1866" spans="1:7" ht="15">
      <c r="A1866" s="114" t="s">
        <v>1843</v>
      </c>
      <c r="B1866" s="114">
        <v>2</v>
      </c>
      <c r="C1866" s="116">
        <v>0.003555472389732061</v>
      </c>
      <c r="D1866" s="114" t="s">
        <v>1716</v>
      </c>
      <c r="E1866" s="114" t="b">
        <v>0</v>
      </c>
      <c r="F1866" s="114" t="b">
        <v>0</v>
      </c>
      <c r="G1866" s="114" t="b">
        <v>0</v>
      </c>
    </row>
    <row r="1867" spans="1:7" ht="15">
      <c r="A1867" s="114" t="s">
        <v>2006</v>
      </c>
      <c r="B1867" s="114">
        <v>2</v>
      </c>
      <c r="C1867" s="116">
        <v>0.003555472389732061</v>
      </c>
      <c r="D1867" s="114" t="s">
        <v>1716</v>
      </c>
      <c r="E1867" s="114" t="b">
        <v>0</v>
      </c>
      <c r="F1867" s="114" t="b">
        <v>0</v>
      </c>
      <c r="G1867" s="114" t="b">
        <v>0</v>
      </c>
    </row>
    <row r="1868" spans="1:7" ht="15">
      <c r="A1868" s="114" t="s">
        <v>2435</v>
      </c>
      <c r="B1868" s="114">
        <v>2</v>
      </c>
      <c r="C1868" s="116">
        <v>0.004740629852976082</v>
      </c>
      <c r="D1868" s="114" t="s">
        <v>1716</v>
      </c>
      <c r="E1868" s="114" t="b">
        <v>0</v>
      </c>
      <c r="F1868" s="114" t="b">
        <v>0</v>
      </c>
      <c r="G1868" s="114" t="b">
        <v>0</v>
      </c>
    </row>
    <row r="1869" spans="1:7" ht="15">
      <c r="A1869" s="114" t="s">
        <v>2436</v>
      </c>
      <c r="B1869" s="114">
        <v>2</v>
      </c>
      <c r="C1869" s="116">
        <v>0.004740629852976082</v>
      </c>
      <c r="D1869" s="114" t="s">
        <v>1716</v>
      </c>
      <c r="E1869" s="114" t="b">
        <v>0</v>
      </c>
      <c r="F1869" s="114" t="b">
        <v>0</v>
      </c>
      <c r="G1869" s="114" t="b">
        <v>0</v>
      </c>
    </row>
    <row r="1870" spans="1:7" ht="15">
      <c r="A1870" s="114" t="s">
        <v>2431</v>
      </c>
      <c r="B1870" s="114">
        <v>2</v>
      </c>
      <c r="C1870" s="116">
        <v>0.004740629852976082</v>
      </c>
      <c r="D1870" s="114" t="s">
        <v>1716</v>
      </c>
      <c r="E1870" s="114" t="b">
        <v>0</v>
      </c>
      <c r="F1870" s="114" t="b">
        <v>0</v>
      </c>
      <c r="G1870" s="114" t="b">
        <v>0</v>
      </c>
    </row>
    <row r="1871" spans="1:7" ht="15">
      <c r="A1871" s="114" t="s">
        <v>1888</v>
      </c>
      <c r="B1871" s="114">
        <v>2</v>
      </c>
      <c r="C1871" s="116">
        <v>0.004740629852976082</v>
      </c>
      <c r="D1871" s="114" t="s">
        <v>1716</v>
      </c>
      <c r="E1871" s="114" t="b">
        <v>0</v>
      </c>
      <c r="F1871" s="114" t="b">
        <v>0</v>
      </c>
      <c r="G1871" s="114" t="b">
        <v>0</v>
      </c>
    </row>
    <row r="1872" spans="1:7" ht="15">
      <c r="A1872" s="114" t="s">
        <v>2433</v>
      </c>
      <c r="B1872" s="114">
        <v>2</v>
      </c>
      <c r="C1872" s="116">
        <v>0.004740629852976082</v>
      </c>
      <c r="D1872" s="114" t="s">
        <v>1716</v>
      </c>
      <c r="E1872" s="114" t="b">
        <v>0</v>
      </c>
      <c r="F1872" s="114" t="b">
        <v>0</v>
      </c>
      <c r="G1872" s="114" t="b">
        <v>0</v>
      </c>
    </row>
    <row r="1873" spans="1:7" ht="15">
      <c r="A1873" s="114" t="s">
        <v>2091</v>
      </c>
      <c r="B1873" s="114">
        <v>2</v>
      </c>
      <c r="C1873" s="116">
        <v>0.003555472389732061</v>
      </c>
      <c r="D1873" s="114" t="s">
        <v>1716</v>
      </c>
      <c r="E1873" s="114" t="b">
        <v>0</v>
      </c>
      <c r="F1873" s="114" t="b">
        <v>0</v>
      </c>
      <c r="G1873" s="114" t="b">
        <v>0</v>
      </c>
    </row>
    <row r="1874" spans="1:7" ht="15">
      <c r="A1874" s="114" t="s">
        <v>1880</v>
      </c>
      <c r="B1874" s="114">
        <v>2</v>
      </c>
      <c r="C1874" s="116">
        <v>0.004740629852976082</v>
      </c>
      <c r="D1874" s="114" t="s">
        <v>1716</v>
      </c>
      <c r="E1874" s="114" t="b">
        <v>0</v>
      </c>
      <c r="F1874" s="114" t="b">
        <v>0</v>
      </c>
      <c r="G1874" s="114" t="b">
        <v>0</v>
      </c>
    </row>
    <row r="1875" spans="1:7" ht="15">
      <c r="A1875" s="114" t="s">
        <v>2223</v>
      </c>
      <c r="B1875" s="114">
        <v>2</v>
      </c>
      <c r="C1875" s="116">
        <v>0.004740629852976082</v>
      </c>
      <c r="D1875" s="114" t="s">
        <v>1716</v>
      </c>
      <c r="E1875" s="114" t="b">
        <v>0</v>
      </c>
      <c r="F1875" s="114" t="b">
        <v>0</v>
      </c>
      <c r="G1875" s="114" t="b">
        <v>0</v>
      </c>
    </row>
    <row r="1876" spans="1:7" ht="15">
      <c r="A1876" s="114" t="s">
        <v>2430</v>
      </c>
      <c r="B1876" s="114">
        <v>2</v>
      </c>
      <c r="C1876" s="116">
        <v>0.004740629852976082</v>
      </c>
      <c r="D1876" s="114" t="s">
        <v>1716</v>
      </c>
      <c r="E1876" s="114" t="b">
        <v>0</v>
      </c>
      <c r="F1876" s="114" t="b">
        <v>0</v>
      </c>
      <c r="G1876" s="114" t="b">
        <v>0</v>
      </c>
    </row>
    <row r="1877" spans="1:7" ht="15">
      <c r="A1877" s="114" t="s">
        <v>1806</v>
      </c>
      <c r="B1877" s="114">
        <v>2</v>
      </c>
      <c r="C1877" s="116">
        <v>0.004740629852976082</v>
      </c>
      <c r="D1877" s="114" t="s">
        <v>1716</v>
      </c>
      <c r="E1877" s="114" t="b">
        <v>0</v>
      </c>
      <c r="F1877" s="114" t="b">
        <v>0</v>
      </c>
      <c r="G1877" s="114" t="b">
        <v>0</v>
      </c>
    </row>
    <row r="1878" spans="1:7" ht="15">
      <c r="A1878" s="114" t="s">
        <v>1997</v>
      </c>
      <c r="B1878" s="114">
        <v>2</v>
      </c>
      <c r="C1878" s="116">
        <v>0.004740629852976082</v>
      </c>
      <c r="D1878" s="114" t="s">
        <v>1716</v>
      </c>
      <c r="E1878" s="114" t="b">
        <v>0</v>
      </c>
      <c r="F1878" s="114" t="b">
        <v>0</v>
      </c>
      <c r="G1878" s="114" t="b">
        <v>0</v>
      </c>
    </row>
    <row r="1879" spans="1:7" ht="15">
      <c r="A1879" s="114" t="s">
        <v>2425</v>
      </c>
      <c r="B1879" s="114">
        <v>2</v>
      </c>
      <c r="C1879" s="116">
        <v>0.003555472389732061</v>
      </c>
      <c r="D1879" s="114" t="s">
        <v>1716</v>
      </c>
      <c r="E1879" s="114" t="b">
        <v>0</v>
      </c>
      <c r="F1879" s="114" t="b">
        <v>0</v>
      </c>
      <c r="G1879" s="114" t="b">
        <v>0</v>
      </c>
    </row>
    <row r="1880" spans="1:7" ht="15">
      <c r="A1880" s="114" t="s">
        <v>2426</v>
      </c>
      <c r="B1880" s="114">
        <v>2</v>
      </c>
      <c r="C1880" s="116">
        <v>0.003555472389732061</v>
      </c>
      <c r="D1880" s="114" t="s">
        <v>1716</v>
      </c>
      <c r="E1880" s="114" t="b">
        <v>0</v>
      </c>
      <c r="F1880" s="114" t="b">
        <v>0</v>
      </c>
      <c r="G1880" s="114" t="b">
        <v>0</v>
      </c>
    </row>
    <row r="1881" spans="1:7" ht="15">
      <c r="A1881" s="114" t="s">
        <v>2427</v>
      </c>
      <c r="B1881" s="114">
        <v>2</v>
      </c>
      <c r="C1881" s="116">
        <v>0.003555472389732061</v>
      </c>
      <c r="D1881" s="114" t="s">
        <v>1716</v>
      </c>
      <c r="E1881" s="114" t="b">
        <v>0</v>
      </c>
      <c r="F1881" s="114" t="b">
        <v>0</v>
      </c>
      <c r="G1881" s="114" t="b">
        <v>0</v>
      </c>
    </row>
    <row r="1882" spans="1:7" ht="15">
      <c r="A1882" s="114" t="s">
        <v>1840</v>
      </c>
      <c r="B1882" s="114">
        <v>2</v>
      </c>
      <c r="C1882" s="116">
        <v>0.003555472389732061</v>
      </c>
      <c r="D1882" s="114" t="s">
        <v>1716</v>
      </c>
      <c r="E1882" s="114" t="b">
        <v>0</v>
      </c>
      <c r="F1882" s="114" t="b">
        <v>0</v>
      </c>
      <c r="G1882" s="11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F958D-9835-47DA-92B1-FD1CBA266111}">
  <dimension ref="A1:L18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2563</v>
      </c>
      <c r="B1" s="13" t="s">
        <v>2564</v>
      </c>
      <c r="C1" s="13" t="s">
        <v>2554</v>
      </c>
      <c r="D1" s="13" t="s">
        <v>2558</v>
      </c>
      <c r="E1" s="13" t="s">
        <v>2565</v>
      </c>
      <c r="F1" s="13" t="s">
        <v>144</v>
      </c>
      <c r="G1" s="13" t="s">
        <v>2566</v>
      </c>
      <c r="H1" s="13" t="s">
        <v>2567</v>
      </c>
      <c r="I1" s="13" t="s">
        <v>2568</v>
      </c>
      <c r="J1" s="13" t="s">
        <v>2569</v>
      </c>
      <c r="K1" s="13" t="s">
        <v>2570</v>
      </c>
      <c r="L1" s="13" t="s">
        <v>2571</v>
      </c>
    </row>
    <row r="2" spans="1:12" ht="15">
      <c r="A2" s="114" t="s">
        <v>1741</v>
      </c>
      <c r="B2" s="114" t="s">
        <v>1743</v>
      </c>
      <c r="C2" s="114">
        <v>231</v>
      </c>
      <c r="D2" s="116">
        <v>0.011199518687865588</v>
      </c>
      <c r="E2" s="116">
        <v>1.43370313743584</v>
      </c>
      <c r="F2" s="114" t="s">
        <v>2559</v>
      </c>
      <c r="G2" s="114" t="b">
        <v>0</v>
      </c>
      <c r="H2" s="114" t="b">
        <v>0</v>
      </c>
      <c r="I2" s="114" t="b">
        <v>0</v>
      </c>
      <c r="J2" s="114" t="b">
        <v>0</v>
      </c>
      <c r="K2" s="114" t="b">
        <v>0</v>
      </c>
      <c r="L2" s="114" t="b">
        <v>0</v>
      </c>
    </row>
    <row r="3" spans="1:12" ht="15">
      <c r="A3" s="114" t="s">
        <v>1740</v>
      </c>
      <c r="B3" s="114" t="s">
        <v>1740</v>
      </c>
      <c r="C3" s="114">
        <v>65</v>
      </c>
      <c r="D3" s="116">
        <v>0.007517605585025888</v>
      </c>
      <c r="E3" s="116">
        <v>0.5714313710813855</v>
      </c>
      <c r="F3" s="114" t="s">
        <v>2559</v>
      </c>
      <c r="G3" s="114" t="b">
        <v>0</v>
      </c>
      <c r="H3" s="114" t="b">
        <v>0</v>
      </c>
      <c r="I3" s="114" t="b">
        <v>0</v>
      </c>
      <c r="J3" s="114" t="b">
        <v>0</v>
      </c>
      <c r="K3" s="114" t="b">
        <v>0</v>
      </c>
      <c r="L3" s="114" t="b">
        <v>0</v>
      </c>
    </row>
    <row r="4" spans="1:12" ht="15">
      <c r="A4" s="114" t="s">
        <v>1739</v>
      </c>
      <c r="B4" s="114" t="s">
        <v>1742</v>
      </c>
      <c r="C4" s="114">
        <v>60</v>
      </c>
      <c r="D4" s="116">
        <v>0.006838137205895585</v>
      </c>
      <c r="E4" s="116">
        <v>0.5840161478093189</v>
      </c>
      <c r="F4" s="114" t="s">
        <v>2559</v>
      </c>
      <c r="G4" s="114" t="b">
        <v>0</v>
      </c>
      <c r="H4" s="114" t="b">
        <v>0</v>
      </c>
      <c r="I4" s="114" t="b">
        <v>0</v>
      </c>
      <c r="J4" s="114" t="b">
        <v>0</v>
      </c>
      <c r="K4" s="114" t="b">
        <v>0</v>
      </c>
      <c r="L4" s="114" t="b">
        <v>0</v>
      </c>
    </row>
    <row r="5" spans="1:12" ht="15">
      <c r="A5" s="114" t="s">
        <v>1739</v>
      </c>
      <c r="B5" s="114" t="s">
        <v>1739</v>
      </c>
      <c r="C5" s="114">
        <v>45</v>
      </c>
      <c r="D5" s="116">
        <v>0.005447282534539295</v>
      </c>
      <c r="E5" s="116">
        <v>0.1598457389426006</v>
      </c>
      <c r="F5" s="114" t="s">
        <v>2559</v>
      </c>
      <c r="G5" s="114" t="b">
        <v>0</v>
      </c>
      <c r="H5" s="114" t="b">
        <v>0</v>
      </c>
      <c r="I5" s="114" t="b">
        <v>0</v>
      </c>
      <c r="J5" s="114" t="b">
        <v>0</v>
      </c>
      <c r="K5" s="114" t="b">
        <v>0</v>
      </c>
      <c r="L5" s="114" t="b">
        <v>0</v>
      </c>
    </row>
    <row r="6" spans="1:12" ht="15">
      <c r="A6" s="114" t="s">
        <v>1740</v>
      </c>
      <c r="B6" s="114" t="s">
        <v>1739</v>
      </c>
      <c r="C6" s="114">
        <v>43</v>
      </c>
      <c r="D6" s="116">
        <v>0.004900664997558503</v>
      </c>
      <c r="E6" s="116">
        <v>0.2736054960313562</v>
      </c>
      <c r="F6" s="114" t="s">
        <v>2559</v>
      </c>
      <c r="G6" s="114" t="b">
        <v>0</v>
      </c>
      <c r="H6" s="114" t="b">
        <v>0</v>
      </c>
      <c r="I6" s="114" t="b">
        <v>0</v>
      </c>
      <c r="J6" s="114" t="b">
        <v>0</v>
      </c>
      <c r="K6" s="114" t="b">
        <v>0</v>
      </c>
      <c r="L6" s="114" t="b">
        <v>0</v>
      </c>
    </row>
    <row r="7" spans="1:12" ht="15">
      <c r="A7" s="114" t="s">
        <v>1743</v>
      </c>
      <c r="B7" s="114" t="s">
        <v>1742</v>
      </c>
      <c r="C7" s="114">
        <v>36</v>
      </c>
      <c r="D7" s="116">
        <v>0.004573283801156546</v>
      </c>
      <c r="E7" s="116">
        <v>0.7045900790151688</v>
      </c>
      <c r="F7" s="114" t="s">
        <v>2559</v>
      </c>
      <c r="G7" s="114" t="b">
        <v>0</v>
      </c>
      <c r="H7" s="114" t="b">
        <v>0</v>
      </c>
      <c r="I7" s="114" t="b">
        <v>0</v>
      </c>
      <c r="J7" s="114" t="b">
        <v>0</v>
      </c>
      <c r="K7" s="114" t="b">
        <v>0</v>
      </c>
      <c r="L7" s="114" t="b">
        <v>0</v>
      </c>
    </row>
    <row r="8" spans="1:12" ht="15">
      <c r="A8" s="114" t="s">
        <v>1742</v>
      </c>
      <c r="B8" s="114" t="s">
        <v>1741</v>
      </c>
      <c r="C8" s="114">
        <v>36</v>
      </c>
      <c r="D8" s="116">
        <v>0.004815186682317084</v>
      </c>
      <c r="E8" s="116">
        <v>0.6497681788269887</v>
      </c>
      <c r="F8" s="114" t="s">
        <v>2559</v>
      </c>
      <c r="G8" s="114" t="b">
        <v>0</v>
      </c>
      <c r="H8" s="114" t="b">
        <v>0</v>
      </c>
      <c r="I8" s="114" t="b">
        <v>0</v>
      </c>
      <c r="J8" s="114" t="b">
        <v>0</v>
      </c>
      <c r="K8" s="114" t="b">
        <v>0</v>
      </c>
      <c r="L8" s="114" t="b">
        <v>0</v>
      </c>
    </row>
    <row r="9" spans="1:12" ht="15">
      <c r="A9" s="114" t="s">
        <v>1739</v>
      </c>
      <c r="B9" s="114" t="s">
        <v>1741</v>
      </c>
      <c r="C9" s="114">
        <v>32</v>
      </c>
      <c r="D9" s="116">
        <v>0.0038141652585569658</v>
      </c>
      <c r="E9" s="116">
        <v>0.27322631485618154</v>
      </c>
      <c r="F9" s="114" t="s">
        <v>2559</v>
      </c>
      <c r="G9" s="114" t="b">
        <v>0</v>
      </c>
      <c r="H9" s="114" t="b">
        <v>0</v>
      </c>
      <c r="I9" s="114" t="b">
        <v>0</v>
      </c>
      <c r="J9" s="114" t="b">
        <v>0</v>
      </c>
      <c r="K9" s="114" t="b">
        <v>0</v>
      </c>
      <c r="L9" s="114" t="b">
        <v>0</v>
      </c>
    </row>
    <row r="10" spans="1:12" ht="15">
      <c r="A10" s="114" t="s">
        <v>1739</v>
      </c>
      <c r="B10" s="114" t="s">
        <v>1748</v>
      </c>
      <c r="C10" s="114">
        <v>31</v>
      </c>
      <c r="D10" s="116">
        <v>0.0037525724126826255</v>
      </c>
      <c r="E10" s="116">
        <v>0.7834148659499378</v>
      </c>
      <c r="F10" s="114" t="s">
        <v>2559</v>
      </c>
      <c r="G10" s="114" t="b">
        <v>0</v>
      </c>
      <c r="H10" s="114" t="b">
        <v>0</v>
      </c>
      <c r="I10" s="114" t="b">
        <v>0</v>
      </c>
      <c r="J10" s="114" t="b">
        <v>0</v>
      </c>
      <c r="K10" s="114" t="b">
        <v>0</v>
      </c>
      <c r="L10" s="114" t="b">
        <v>0</v>
      </c>
    </row>
    <row r="11" spans="1:12" ht="15">
      <c r="A11" s="114" t="s">
        <v>1742</v>
      </c>
      <c r="B11" s="114" t="s">
        <v>1739</v>
      </c>
      <c r="C11" s="114">
        <v>31</v>
      </c>
      <c r="D11" s="116">
        <v>0.004383870755600877</v>
      </c>
      <c r="E11" s="116">
        <v>0.32338426052495545</v>
      </c>
      <c r="F11" s="114" t="s">
        <v>2559</v>
      </c>
      <c r="G11" s="114" t="b">
        <v>0</v>
      </c>
      <c r="H11" s="114" t="b">
        <v>0</v>
      </c>
      <c r="I11" s="114" t="b">
        <v>0</v>
      </c>
      <c r="J11" s="114" t="b">
        <v>0</v>
      </c>
      <c r="K11" s="114" t="b">
        <v>0</v>
      </c>
      <c r="L11" s="114" t="b">
        <v>0</v>
      </c>
    </row>
    <row r="12" spans="1:12" ht="15">
      <c r="A12" s="114" t="s">
        <v>1739</v>
      </c>
      <c r="B12" s="114" t="s">
        <v>1740</v>
      </c>
      <c r="C12" s="114">
        <v>31</v>
      </c>
      <c r="D12" s="116">
        <v>0.0038739834735027965</v>
      </c>
      <c r="E12" s="116">
        <v>0.11637589298828992</v>
      </c>
      <c r="F12" s="114" t="s">
        <v>2559</v>
      </c>
      <c r="G12" s="114" t="b">
        <v>0</v>
      </c>
      <c r="H12" s="114" t="b">
        <v>0</v>
      </c>
      <c r="I12" s="114" t="b">
        <v>0</v>
      </c>
      <c r="J12" s="114" t="b">
        <v>0</v>
      </c>
      <c r="K12" s="114" t="b">
        <v>0</v>
      </c>
      <c r="L12" s="114" t="b">
        <v>0</v>
      </c>
    </row>
    <row r="13" spans="1:12" ht="15">
      <c r="A13" s="114" t="s">
        <v>1743</v>
      </c>
      <c r="B13" s="114" t="s">
        <v>1739</v>
      </c>
      <c r="C13" s="114">
        <v>30</v>
      </c>
      <c r="D13" s="116">
        <v>0.0035757799298971557</v>
      </c>
      <c r="E13" s="116">
        <v>0.32617716070912556</v>
      </c>
      <c r="F13" s="114" t="s">
        <v>2559</v>
      </c>
      <c r="G13" s="114" t="b">
        <v>0</v>
      </c>
      <c r="H13" s="114" t="b">
        <v>0</v>
      </c>
      <c r="I13" s="114" t="b">
        <v>0</v>
      </c>
      <c r="J13" s="114" t="b">
        <v>0</v>
      </c>
      <c r="K13" s="114" t="b">
        <v>0</v>
      </c>
      <c r="L13" s="114" t="b">
        <v>0</v>
      </c>
    </row>
    <row r="14" spans="1:12" ht="15">
      <c r="A14" s="114" t="s">
        <v>1744</v>
      </c>
      <c r="B14" s="114" t="s">
        <v>1746</v>
      </c>
      <c r="C14" s="114">
        <v>30</v>
      </c>
      <c r="D14" s="116">
        <v>0.0037490162646801255</v>
      </c>
      <c r="E14" s="116">
        <v>1.3934845103288203</v>
      </c>
      <c r="F14" s="114" t="s">
        <v>2559</v>
      </c>
      <c r="G14" s="114" t="b">
        <v>0</v>
      </c>
      <c r="H14" s="114" t="b">
        <v>0</v>
      </c>
      <c r="I14" s="114" t="b">
        <v>0</v>
      </c>
      <c r="J14" s="114" t="b">
        <v>0</v>
      </c>
      <c r="K14" s="114" t="b">
        <v>1</v>
      </c>
      <c r="L14" s="114" t="b">
        <v>0</v>
      </c>
    </row>
    <row r="15" spans="1:12" ht="15">
      <c r="A15" s="114" t="s">
        <v>1761</v>
      </c>
      <c r="B15" s="114" t="s">
        <v>1745</v>
      </c>
      <c r="C15" s="114">
        <v>30</v>
      </c>
      <c r="D15" s="116">
        <v>0.0040126555685975705</v>
      </c>
      <c r="E15" s="116">
        <v>1.9300429529003504</v>
      </c>
      <c r="F15" s="114" t="s">
        <v>2559</v>
      </c>
      <c r="G15" s="114" t="b">
        <v>0</v>
      </c>
      <c r="H15" s="114" t="b">
        <v>0</v>
      </c>
      <c r="I15" s="114" t="b">
        <v>0</v>
      </c>
      <c r="J15" s="114" t="b">
        <v>0</v>
      </c>
      <c r="K15" s="114" t="b">
        <v>0</v>
      </c>
      <c r="L15" s="114" t="b">
        <v>0</v>
      </c>
    </row>
    <row r="16" spans="1:12" ht="15">
      <c r="A16" s="114" t="s">
        <v>1762</v>
      </c>
      <c r="B16" s="114" t="s">
        <v>1740</v>
      </c>
      <c r="C16" s="114">
        <v>27</v>
      </c>
      <c r="D16" s="116">
        <v>0.005174138866317891</v>
      </c>
      <c r="E16" s="116">
        <v>1.2738619075269109</v>
      </c>
      <c r="F16" s="114" t="s">
        <v>2559</v>
      </c>
      <c r="G16" s="114" t="b">
        <v>0</v>
      </c>
      <c r="H16" s="114" t="b">
        <v>0</v>
      </c>
      <c r="I16" s="114" t="b">
        <v>0</v>
      </c>
      <c r="J16" s="114" t="b">
        <v>0</v>
      </c>
      <c r="K16" s="114" t="b">
        <v>0</v>
      </c>
      <c r="L16" s="114" t="b">
        <v>0</v>
      </c>
    </row>
    <row r="17" spans="1:12" ht="15">
      <c r="A17" s="114" t="s">
        <v>1766</v>
      </c>
      <c r="B17" s="114" t="s">
        <v>1740</v>
      </c>
      <c r="C17" s="114">
        <v>26</v>
      </c>
      <c r="D17" s="116">
        <v>0.003358816490805481</v>
      </c>
      <c r="E17" s="116">
        <v>1.3196193980875859</v>
      </c>
      <c r="F17" s="114" t="s">
        <v>2559</v>
      </c>
      <c r="G17" s="114" t="b">
        <v>0</v>
      </c>
      <c r="H17" s="114" t="b">
        <v>1</v>
      </c>
      <c r="I17" s="114" t="b">
        <v>0</v>
      </c>
      <c r="J17" s="114" t="b">
        <v>0</v>
      </c>
      <c r="K17" s="114" t="b">
        <v>0</v>
      </c>
      <c r="L17" s="114" t="b">
        <v>0</v>
      </c>
    </row>
    <row r="18" spans="1:12" ht="15">
      <c r="A18" s="114" t="s">
        <v>1739</v>
      </c>
      <c r="B18" s="114" t="s">
        <v>1751</v>
      </c>
      <c r="C18" s="114">
        <v>24</v>
      </c>
      <c r="D18" s="116">
        <v>0.003210124454878056</v>
      </c>
      <c r="E18" s="116">
        <v>0.8886502677421254</v>
      </c>
      <c r="F18" s="114" t="s">
        <v>2559</v>
      </c>
      <c r="G18" s="114" t="b">
        <v>0</v>
      </c>
      <c r="H18" s="114" t="b">
        <v>0</v>
      </c>
      <c r="I18" s="114" t="b">
        <v>0</v>
      </c>
      <c r="J18" s="114" t="b">
        <v>0</v>
      </c>
      <c r="K18" s="114" t="b">
        <v>1</v>
      </c>
      <c r="L18" s="114" t="b">
        <v>0</v>
      </c>
    </row>
    <row r="19" spans="1:12" ht="15">
      <c r="A19" s="114" t="s">
        <v>1739</v>
      </c>
      <c r="B19" s="114" t="s">
        <v>1750</v>
      </c>
      <c r="C19" s="114">
        <v>22</v>
      </c>
      <c r="D19" s="116">
        <v>0.0030523046323813804</v>
      </c>
      <c r="E19" s="116">
        <v>0.833132939892294</v>
      </c>
      <c r="F19" s="114" t="s">
        <v>2559</v>
      </c>
      <c r="G19" s="114" t="b">
        <v>0</v>
      </c>
      <c r="H19" s="114" t="b">
        <v>0</v>
      </c>
      <c r="I19" s="114" t="b">
        <v>0</v>
      </c>
      <c r="J19" s="114" t="b">
        <v>0</v>
      </c>
      <c r="K19" s="114" t="b">
        <v>0</v>
      </c>
      <c r="L19" s="114" t="b">
        <v>0</v>
      </c>
    </row>
    <row r="20" spans="1:12" ht="15">
      <c r="A20" s="114" t="s">
        <v>1742</v>
      </c>
      <c r="B20" s="114" t="s">
        <v>1742</v>
      </c>
      <c r="C20" s="114">
        <v>21</v>
      </c>
      <c r="D20" s="116">
        <v>0.003300828624949161</v>
      </c>
      <c r="E20" s="116">
        <v>0.4534735336830204</v>
      </c>
      <c r="F20" s="114" t="s">
        <v>2559</v>
      </c>
      <c r="G20" s="114" t="b">
        <v>0</v>
      </c>
      <c r="H20" s="114" t="b">
        <v>0</v>
      </c>
      <c r="I20" s="114" t="b">
        <v>0</v>
      </c>
      <c r="J20" s="114" t="b">
        <v>0</v>
      </c>
      <c r="K20" s="114" t="b">
        <v>0</v>
      </c>
      <c r="L20" s="114" t="b">
        <v>0</v>
      </c>
    </row>
    <row r="21" spans="1:12" ht="15">
      <c r="A21" s="114" t="s">
        <v>1743</v>
      </c>
      <c r="B21" s="114" t="s">
        <v>1741</v>
      </c>
      <c r="C21" s="114">
        <v>21</v>
      </c>
      <c r="D21" s="116">
        <v>0.003226547555337208</v>
      </c>
      <c r="E21" s="116">
        <v>0.432718312092401</v>
      </c>
      <c r="F21" s="114" t="s">
        <v>2559</v>
      </c>
      <c r="G21" s="114" t="b">
        <v>0</v>
      </c>
      <c r="H21" s="114" t="b">
        <v>0</v>
      </c>
      <c r="I21" s="114" t="b">
        <v>0</v>
      </c>
      <c r="J21" s="114" t="b">
        <v>0</v>
      </c>
      <c r="K21" s="114" t="b">
        <v>0</v>
      </c>
      <c r="L21" s="114" t="b">
        <v>0</v>
      </c>
    </row>
    <row r="22" spans="1:12" ht="15">
      <c r="A22" s="114" t="s">
        <v>1780</v>
      </c>
      <c r="B22" s="114" t="s">
        <v>1781</v>
      </c>
      <c r="C22" s="114">
        <v>21</v>
      </c>
      <c r="D22" s="116">
        <v>0.003226547555337208</v>
      </c>
      <c r="E22" s="116">
        <v>2.521659395429182</v>
      </c>
      <c r="F22" s="114" t="s">
        <v>2559</v>
      </c>
      <c r="G22" s="114" t="b">
        <v>0</v>
      </c>
      <c r="H22" s="114" t="b">
        <v>0</v>
      </c>
      <c r="I22" s="114" t="b">
        <v>0</v>
      </c>
      <c r="J22" s="114" t="b">
        <v>0</v>
      </c>
      <c r="K22" s="114" t="b">
        <v>0</v>
      </c>
      <c r="L22" s="114" t="b">
        <v>0</v>
      </c>
    </row>
    <row r="23" spans="1:12" ht="15">
      <c r="A23" s="114" t="s">
        <v>1759</v>
      </c>
      <c r="B23" s="114" t="s">
        <v>1740</v>
      </c>
      <c r="C23" s="114">
        <v>20</v>
      </c>
      <c r="D23" s="116">
        <v>0.0035880967361681753</v>
      </c>
      <c r="E23" s="116">
        <v>1.115499415431661</v>
      </c>
      <c r="F23" s="114" t="s">
        <v>2559</v>
      </c>
      <c r="G23" s="114" t="b">
        <v>0</v>
      </c>
      <c r="H23" s="114" t="b">
        <v>0</v>
      </c>
      <c r="I23" s="114" t="b">
        <v>0</v>
      </c>
      <c r="J23" s="114" t="b">
        <v>0</v>
      </c>
      <c r="K23" s="114" t="b">
        <v>0</v>
      </c>
      <c r="L23" s="114" t="b">
        <v>0</v>
      </c>
    </row>
    <row r="24" spans="1:12" ht="15">
      <c r="A24" s="114" t="s">
        <v>1748</v>
      </c>
      <c r="B24" s="114" t="s">
        <v>1739</v>
      </c>
      <c r="C24" s="114">
        <v>19</v>
      </c>
      <c r="D24" s="116">
        <v>0.002986463994001622</v>
      </c>
      <c r="E24" s="116">
        <v>0.6049307616619546</v>
      </c>
      <c r="F24" s="114" t="s">
        <v>2559</v>
      </c>
      <c r="G24" s="114" t="b">
        <v>0</v>
      </c>
      <c r="H24" s="114" t="b">
        <v>0</v>
      </c>
      <c r="I24" s="114" t="b">
        <v>0</v>
      </c>
      <c r="J24" s="114" t="b">
        <v>0</v>
      </c>
      <c r="K24" s="114" t="b">
        <v>0</v>
      </c>
      <c r="L24" s="114" t="b">
        <v>0</v>
      </c>
    </row>
    <row r="25" spans="1:12" ht="15">
      <c r="A25" s="114" t="s">
        <v>1750</v>
      </c>
      <c r="B25" s="114" t="s">
        <v>1739</v>
      </c>
      <c r="C25" s="114">
        <v>19</v>
      </c>
      <c r="D25" s="116">
        <v>0.0029192573119717594</v>
      </c>
      <c r="E25" s="116">
        <v>0.826779511278311</v>
      </c>
      <c r="F25" s="114" t="s">
        <v>2559</v>
      </c>
      <c r="G25" s="114" t="b">
        <v>0</v>
      </c>
      <c r="H25" s="114" t="b">
        <v>0</v>
      </c>
      <c r="I25" s="114" t="b">
        <v>0</v>
      </c>
      <c r="J25" s="114" t="b">
        <v>0</v>
      </c>
      <c r="K25" s="114" t="b">
        <v>0</v>
      </c>
      <c r="L25" s="114" t="b">
        <v>0</v>
      </c>
    </row>
    <row r="26" spans="1:12" ht="15">
      <c r="A26" s="114" t="s">
        <v>1785</v>
      </c>
      <c r="B26" s="114" t="s">
        <v>1789</v>
      </c>
      <c r="C26" s="114">
        <v>19</v>
      </c>
      <c r="D26" s="116">
        <v>0.00413049527109319</v>
      </c>
      <c r="E26" s="116">
        <v>2.5397897728946037</v>
      </c>
      <c r="F26" s="114" t="s">
        <v>2559</v>
      </c>
      <c r="G26" s="114" t="b">
        <v>0</v>
      </c>
      <c r="H26" s="114" t="b">
        <v>0</v>
      </c>
      <c r="I26" s="114" t="b">
        <v>0</v>
      </c>
      <c r="J26" s="114" t="b">
        <v>0</v>
      </c>
      <c r="K26" s="114" t="b">
        <v>0</v>
      </c>
      <c r="L26" s="114" t="b">
        <v>0</v>
      </c>
    </row>
    <row r="27" spans="1:12" ht="15">
      <c r="A27" s="114" t="s">
        <v>1751</v>
      </c>
      <c r="B27" s="114" t="s">
        <v>1739</v>
      </c>
      <c r="C27" s="114">
        <v>18</v>
      </c>
      <c r="D27" s="116">
        <v>0.002829281678527852</v>
      </c>
      <c r="E27" s="116">
        <v>0.7844130712684143</v>
      </c>
      <c r="F27" s="114" t="s">
        <v>2559</v>
      </c>
      <c r="G27" s="114" t="b">
        <v>0</v>
      </c>
      <c r="H27" s="114" t="b">
        <v>1</v>
      </c>
      <c r="I27" s="114" t="b">
        <v>0</v>
      </c>
      <c r="J27" s="114" t="b">
        <v>0</v>
      </c>
      <c r="K27" s="114" t="b">
        <v>0</v>
      </c>
      <c r="L27" s="114" t="b">
        <v>0</v>
      </c>
    </row>
    <row r="28" spans="1:12" ht="15">
      <c r="A28" s="114" t="s">
        <v>1746</v>
      </c>
      <c r="B28" s="114" t="s">
        <v>1739</v>
      </c>
      <c r="C28" s="114">
        <v>17</v>
      </c>
      <c r="D28" s="116">
        <v>0.002611967068606311</v>
      </c>
      <c r="E28" s="116">
        <v>0.5022684197648069</v>
      </c>
      <c r="F28" s="114" t="s">
        <v>2559</v>
      </c>
      <c r="G28" s="114" t="b">
        <v>0</v>
      </c>
      <c r="H28" s="114" t="b">
        <v>1</v>
      </c>
      <c r="I28" s="114" t="b">
        <v>0</v>
      </c>
      <c r="J28" s="114" t="b">
        <v>0</v>
      </c>
      <c r="K28" s="114" t="b">
        <v>0</v>
      </c>
      <c r="L28" s="114" t="b">
        <v>0</v>
      </c>
    </row>
    <row r="29" spans="1:12" ht="15">
      <c r="A29" s="114" t="s">
        <v>1744</v>
      </c>
      <c r="B29" s="114" t="s">
        <v>1742</v>
      </c>
      <c r="C29" s="114">
        <v>16</v>
      </c>
      <c r="D29" s="116">
        <v>0.0027868980145615463</v>
      </c>
      <c r="E29" s="116">
        <v>0.671166323528219</v>
      </c>
      <c r="F29" s="114" t="s">
        <v>2559</v>
      </c>
      <c r="G29" s="114" t="b">
        <v>0</v>
      </c>
      <c r="H29" s="114" t="b">
        <v>0</v>
      </c>
      <c r="I29" s="114" t="b">
        <v>0</v>
      </c>
      <c r="J29" s="114" t="b">
        <v>0</v>
      </c>
      <c r="K29" s="114" t="b">
        <v>0</v>
      </c>
      <c r="L29" s="114" t="b">
        <v>0</v>
      </c>
    </row>
    <row r="30" spans="1:12" ht="15">
      <c r="A30" s="114" t="s">
        <v>1743</v>
      </c>
      <c r="B30" s="114" t="s">
        <v>1748</v>
      </c>
      <c r="C30" s="114">
        <v>14</v>
      </c>
      <c r="D30" s="116">
        <v>0.002253490973836737</v>
      </c>
      <c r="E30" s="116">
        <v>0.7806038886161094</v>
      </c>
      <c r="F30" s="114" t="s">
        <v>2559</v>
      </c>
      <c r="G30" s="114" t="b">
        <v>0</v>
      </c>
      <c r="H30" s="114" t="b">
        <v>0</v>
      </c>
      <c r="I30" s="114" t="b">
        <v>0</v>
      </c>
      <c r="J30" s="114" t="b">
        <v>0</v>
      </c>
      <c r="K30" s="114" t="b">
        <v>0</v>
      </c>
      <c r="L30" s="114" t="b">
        <v>0</v>
      </c>
    </row>
    <row r="31" spans="1:12" ht="15">
      <c r="A31" s="114" t="s">
        <v>1742</v>
      </c>
      <c r="B31" s="114" t="s">
        <v>1750</v>
      </c>
      <c r="C31" s="114">
        <v>14</v>
      </c>
      <c r="D31" s="116">
        <v>0.0027853460898508374</v>
      </c>
      <c r="E31" s="116">
        <v>0.9622276362717517</v>
      </c>
      <c r="F31" s="114" t="s">
        <v>2559</v>
      </c>
      <c r="G31" s="114" t="b">
        <v>0</v>
      </c>
      <c r="H31" s="114" t="b">
        <v>0</v>
      </c>
      <c r="I31" s="114" t="b">
        <v>0</v>
      </c>
      <c r="J31" s="114" t="b">
        <v>0</v>
      </c>
      <c r="K31" s="114" t="b">
        <v>0</v>
      </c>
      <c r="L31" s="114" t="b">
        <v>0</v>
      </c>
    </row>
    <row r="32" spans="1:12" ht="15">
      <c r="A32" s="114" t="s">
        <v>1739</v>
      </c>
      <c r="B32" s="114" t="s">
        <v>1804</v>
      </c>
      <c r="C32" s="114">
        <v>14</v>
      </c>
      <c r="D32" s="116">
        <v>0.002438535762741353</v>
      </c>
      <c r="E32" s="116">
        <v>1.1316883164284197</v>
      </c>
      <c r="F32" s="114" t="s">
        <v>2559</v>
      </c>
      <c r="G32" s="114" t="b">
        <v>0</v>
      </c>
      <c r="H32" s="114" t="b">
        <v>0</v>
      </c>
      <c r="I32" s="114" t="b">
        <v>0</v>
      </c>
      <c r="J32" s="114" t="b">
        <v>0</v>
      </c>
      <c r="K32" s="114" t="b">
        <v>0</v>
      </c>
      <c r="L32" s="114" t="b">
        <v>0</v>
      </c>
    </row>
    <row r="33" spans="1:12" ht="15">
      <c r="A33" s="114" t="s">
        <v>1744</v>
      </c>
      <c r="B33" s="114" t="s">
        <v>1739</v>
      </c>
      <c r="C33" s="114">
        <v>14</v>
      </c>
      <c r="D33" s="116">
        <v>0.0023103543720194245</v>
      </c>
      <c r="E33" s="116">
        <v>0.313942704292114</v>
      </c>
      <c r="F33" s="114" t="s">
        <v>2559</v>
      </c>
      <c r="G33" s="114" t="b">
        <v>0</v>
      </c>
      <c r="H33" s="114" t="b">
        <v>0</v>
      </c>
      <c r="I33" s="114" t="b">
        <v>0</v>
      </c>
      <c r="J33" s="114" t="b">
        <v>0</v>
      </c>
      <c r="K33" s="114" t="b">
        <v>0</v>
      </c>
      <c r="L33" s="114" t="b">
        <v>0</v>
      </c>
    </row>
    <row r="34" spans="1:12" ht="15">
      <c r="A34" s="114" t="s">
        <v>1740</v>
      </c>
      <c r="B34" s="114" t="s">
        <v>1792</v>
      </c>
      <c r="C34" s="114">
        <v>14</v>
      </c>
      <c r="D34" s="116">
        <v>0.0026828868195722393</v>
      </c>
      <c r="E34" s="116">
        <v>1.1905585134160284</v>
      </c>
      <c r="F34" s="114" t="s">
        <v>2559</v>
      </c>
      <c r="G34" s="114" t="b">
        <v>0</v>
      </c>
      <c r="H34" s="114" t="b">
        <v>0</v>
      </c>
      <c r="I34" s="114" t="b">
        <v>0</v>
      </c>
      <c r="J34" s="114" t="b">
        <v>0</v>
      </c>
      <c r="K34" s="114" t="b">
        <v>0</v>
      </c>
      <c r="L34" s="114" t="b">
        <v>0</v>
      </c>
    </row>
    <row r="35" spans="1:12" ht="15">
      <c r="A35" s="114" t="s">
        <v>1820</v>
      </c>
      <c r="B35" s="114" t="s">
        <v>1740</v>
      </c>
      <c r="C35" s="114">
        <v>14</v>
      </c>
      <c r="D35" s="116">
        <v>0.0032147419355863407</v>
      </c>
      <c r="E35" s="116">
        <v>1.3196193980875859</v>
      </c>
      <c r="F35" s="114" t="s">
        <v>2559</v>
      </c>
      <c r="G35" s="114" t="b">
        <v>0</v>
      </c>
      <c r="H35" s="114" t="b">
        <v>0</v>
      </c>
      <c r="I35" s="114" t="b">
        <v>0</v>
      </c>
      <c r="J35" s="114" t="b">
        <v>0</v>
      </c>
      <c r="K35" s="114" t="b">
        <v>0</v>
      </c>
      <c r="L35" s="114" t="b">
        <v>0</v>
      </c>
    </row>
    <row r="36" spans="1:12" ht="15">
      <c r="A36" s="114" t="s">
        <v>1740</v>
      </c>
      <c r="B36" s="114" t="s">
        <v>1755</v>
      </c>
      <c r="C36" s="114">
        <v>13</v>
      </c>
      <c r="D36" s="116">
        <v>0.002145329059732323</v>
      </c>
      <c r="E36" s="116">
        <v>0.8573438343806459</v>
      </c>
      <c r="F36" s="114" t="s">
        <v>2559</v>
      </c>
      <c r="G36" s="114" t="b">
        <v>0</v>
      </c>
      <c r="H36" s="114" t="b">
        <v>0</v>
      </c>
      <c r="I36" s="114" t="b">
        <v>0</v>
      </c>
      <c r="J36" s="114" t="b">
        <v>0</v>
      </c>
      <c r="K36" s="114" t="b">
        <v>0</v>
      </c>
      <c r="L36" s="114" t="b">
        <v>0</v>
      </c>
    </row>
    <row r="37" spans="1:12" ht="15">
      <c r="A37" s="114" t="s">
        <v>1757</v>
      </c>
      <c r="B37" s="114" t="s">
        <v>1791</v>
      </c>
      <c r="C37" s="114">
        <v>13</v>
      </c>
      <c r="D37" s="116">
        <v>0.002491252046745651</v>
      </c>
      <c r="E37" s="116">
        <v>2.1396916170768727</v>
      </c>
      <c r="F37" s="114" t="s">
        <v>2559</v>
      </c>
      <c r="G37" s="114" t="b">
        <v>0</v>
      </c>
      <c r="H37" s="114" t="b">
        <v>0</v>
      </c>
      <c r="I37" s="114" t="b">
        <v>0</v>
      </c>
      <c r="J37" s="114" t="b">
        <v>0</v>
      </c>
      <c r="K37" s="114" t="b">
        <v>0</v>
      </c>
      <c r="L37" s="114" t="b">
        <v>0</v>
      </c>
    </row>
    <row r="38" spans="1:12" ht="15">
      <c r="A38" s="114" t="s">
        <v>1791</v>
      </c>
      <c r="B38" s="114" t="s">
        <v>1740</v>
      </c>
      <c r="C38" s="114">
        <v>13</v>
      </c>
      <c r="D38" s="116">
        <v>0.002491252046745651</v>
      </c>
      <c r="E38" s="116">
        <v>1.1548091494415937</v>
      </c>
      <c r="F38" s="114" t="s">
        <v>2559</v>
      </c>
      <c r="G38" s="114" t="b">
        <v>0</v>
      </c>
      <c r="H38" s="114" t="b">
        <v>0</v>
      </c>
      <c r="I38" s="114" t="b">
        <v>0</v>
      </c>
      <c r="J38" s="114" t="b">
        <v>0</v>
      </c>
      <c r="K38" s="114" t="b">
        <v>0</v>
      </c>
      <c r="L38" s="114" t="b">
        <v>0</v>
      </c>
    </row>
    <row r="39" spans="1:12" ht="15">
      <c r="A39" s="114" t="s">
        <v>1768</v>
      </c>
      <c r="B39" s="114" t="s">
        <v>1813</v>
      </c>
      <c r="C39" s="114">
        <v>13</v>
      </c>
      <c r="D39" s="116">
        <v>0.002145329059732323</v>
      </c>
      <c r="E39" s="116">
        <v>2.407164207620013</v>
      </c>
      <c r="F39" s="114" t="s">
        <v>2559</v>
      </c>
      <c r="G39" s="114" t="b">
        <v>0</v>
      </c>
      <c r="H39" s="114" t="b">
        <v>0</v>
      </c>
      <c r="I39" s="114" t="b">
        <v>0</v>
      </c>
      <c r="J39" s="114" t="b">
        <v>0</v>
      </c>
      <c r="K39" s="114" t="b">
        <v>0</v>
      </c>
      <c r="L39" s="114" t="b">
        <v>0</v>
      </c>
    </row>
    <row r="40" spans="1:12" ht="15">
      <c r="A40" s="114" t="s">
        <v>1813</v>
      </c>
      <c r="B40" s="114" t="s">
        <v>1768</v>
      </c>
      <c r="C40" s="114">
        <v>13</v>
      </c>
      <c r="D40" s="116">
        <v>0.002145329059732323</v>
      </c>
      <c r="E40" s="116">
        <v>2.4241975469187933</v>
      </c>
      <c r="F40" s="114" t="s">
        <v>2559</v>
      </c>
      <c r="G40" s="114" t="b">
        <v>0</v>
      </c>
      <c r="H40" s="114" t="b">
        <v>0</v>
      </c>
      <c r="I40" s="114" t="b">
        <v>0</v>
      </c>
      <c r="J40" s="114" t="b">
        <v>0</v>
      </c>
      <c r="K40" s="114" t="b">
        <v>0</v>
      </c>
      <c r="L40" s="114" t="b">
        <v>0</v>
      </c>
    </row>
    <row r="41" spans="1:12" ht="15">
      <c r="A41" s="114" t="s">
        <v>1769</v>
      </c>
      <c r="B41" s="114" t="s">
        <v>1833</v>
      </c>
      <c r="C41" s="114">
        <v>13</v>
      </c>
      <c r="D41" s="116">
        <v>0.002145329059732323</v>
      </c>
      <c r="E41" s="116">
        <v>2.4863454536676377</v>
      </c>
      <c r="F41" s="114" t="s">
        <v>2559</v>
      </c>
      <c r="G41" s="114" t="b">
        <v>0</v>
      </c>
      <c r="H41" s="114" t="b">
        <v>0</v>
      </c>
      <c r="I41" s="114" t="b">
        <v>0</v>
      </c>
      <c r="J41" s="114" t="b">
        <v>0</v>
      </c>
      <c r="K41" s="114" t="b">
        <v>0</v>
      </c>
      <c r="L41" s="114" t="b">
        <v>0</v>
      </c>
    </row>
    <row r="42" spans="1:12" ht="15">
      <c r="A42" s="114" t="s">
        <v>1742</v>
      </c>
      <c r="B42" s="114" t="s">
        <v>1815</v>
      </c>
      <c r="C42" s="114">
        <v>12</v>
      </c>
      <c r="D42" s="116">
        <v>0.002944698645356136</v>
      </c>
      <c r="E42" s="116">
        <v>1.4481228152989192</v>
      </c>
      <c r="F42" s="114" t="s">
        <v>2559</v>
      </c>
      <c r="G42" s="114" t="b">
        <v>0</v>
      </c>
      <c r="H42" s="114" t="b">
        <v>0</v>
      </c>
      <c r="I42" s="114" t="b">
        <v>0</v>
      </c>
      <c r="J42" s="114" t="b">
        <v>0</v>
      </c>
      <c r="K42" s="114" t="b">
        <v>0</v>
      </c>
      <c r="L42" s="114" t="b">
        <v>0</v>
      </c>
    </row>
    <row r="43" spans="1:12" ht="15">
      <c r="A43" s="114" t="s">
        <v>1741</v>
      </c>
      <c r="B43" s="114" t="s">
        <v>1742</v>
      </c>
      <c r="C43" s="114">
        <v>12</v>
      </c>
      <c r="D43" s="116">
        <v>0.002222152575614093</v>
      </c>
      <c r="E43" s="116">
        <v>0.1309450225017889</v>
      </c>
      <c r="F43" s="114" t="s">
        <v>2559</v>
      </c>
      <c r="G43" s="114" t="b">
        <v>0</v>
      </c>
      <c r="H43" s="114" t="b">
        <v>0</v>
      </c>
      <c r="I43" s="114" t="b">
        <v>0</v>
      </c>
      <c r="J43" s="114" t="b">
        <v>0</v>
      </c>
      <c r="K43" s="114" t="b">
        <v>0</v>
      </c>
      <c r="L43" s="114" t="b">
        <v>0</v>
      </c>
    </row>
    <row r="44" spans="1:12" ht="15">
      <c r="A44" s="114" t="s">
        <v>1794</v>
      </c>
      <c r="B44" s="114" t="s">
        <v>1822</v>
      </c>
      <c r="C44" s="114">
        <v>12</v>
      </c>
      <c r="D44" s="116">
        <v>0.0020329470179033912</v>
      </c>
      <c r="E44" s="116">
        <v>2.6190744347021893</v>
      </c>
      <c r="F44" s="114" t="s">
        <v>2559</v>
      </c>
      <c r="G44" s="114" t="b">
        <v>0</v>
      </c>
      <c r="H44" s="114" t="b">
        <v>0</v>
      </c>
      <c r="I44" s="114" t="b">
        <v>0</v>
      </c>
      <c r="J44" s="114" t="b">
        <v>0</v>
      </c>
      <c r="K44" s="114" t="b">
        <v>0</v>
      </c>
      <c r="L44" s="114" t="b">
        <v>0</v>
      </c>
    </row>
    <row r="45" spans="1:12" ht="15">
      <c r="A45" s="114" t="s">
        <v>1822</v>
      </c>
      <c r="B45" s="114" t="s">
        <v>1834</v>
      </c>
      <c r="C45" s="114">
        <v>12</v>
      </c>
      <c r="D45" s="116">
        <v>0.0020329470179033912</v>
      </c>
      <c r="E45" s="116">
        <v>2.7703421100328383</v>
      </c>
      <c r="F45" s="114" t="s">
        <v>2559</v>
      </c>
      <c r="G45" s="114" t="b">
        <v>0</v>
      </c>
      <c r="H45" s="114" t="b">
        <v>0</v>
      </c>
      <c r="I45" s="114" t="b">
        <v>0</v>
      </c>
      <c r="J45" s="114" t="b">
        <v>0</v>
      </c>
      <c r="K45" s="114" t="b">
        <v>0</v>
      </c>
      <c r="L45" s="114" t="b">
        <v>0</v>
      </c>
    </row>
    <row r="46" spans="1:12" ht="15">
      <c r="A46" s="114" t="s">
        <v>1812</v>
      </c>
      <c r="B46" s="114" t="s">
        <v>1801</v>
      </c>
      <c r="C46" s="114">
        <v>12</v>
      </c>
      <c r="D46" s="116">
        <v>0.0023874395055864324</v>
      </c>
      <c r="E46" s="116">
        <v>2.556926527953345</v>
      </c>
      <c r="F46" s="114" t="s">
        <v>2559</v>
      </c>
      <c r="G46" s="114" t="b">
        <v>0</v>
      </c>
      <c r="H46" s="114" t="b">
        <v>0</v>
      </c>
      <c r="I46" s="114" t="b">
        <v>0</v>
      </c>
      <c r="J46" s="114" t="b">
        <v>0</v>
      </c>
      <c r="K46" s="114" t="b">
        <v>0</v>
      </c>
      <c r="L46" s="114" t="b">
        <v>0</v>
      </c>
    </row>
    <row r="47" spans="1:12" ht="15">
      <c r="A47" s="114" t="s">
        <v>1841</v>
      </c>
      <c r="B47" s="114" t="s">
        <v>1842</v>
      </c>
      <c r="C47" s="114">
        <v>12</v>
      </c>
      <c r="D47" s="116">
        <v>0.0022996172739190622</v>
      </c>
      <c r="E47" s="116">
        <v>2.8051042162920505</v>
      </c>
      <c r="F47" s="114" t="s">
        <v>2559</v>
      </c>
      <c r="G47" s="114" t="b">
        <v>0</v>
      </c>
      <c r="H47" s="114" t="b">
        <v>0</v>
      </c>
      <c r="I47" s="114" t="b">
        <v>0</v>
      </c>
      <c r="J47" s="114" t="b">
        <v>0</v>
      </c>
      <c r="K47" s="114" t="b">
        <v>0</v>
      </c>
      <c r="L47" s="114" t="b">
        <v>0</v>
      </c>
    </row>
    <row r="48" spans="1:12" ht="15">
      <c r="A48" s="114" t="s">
        <v>1797</v>
      </c>
      <c r="B48" s="114" t="s">
        <v>1797</v>
      </c>
      <c r="C48" s="114">
        <v>12</v>
      </c>
      <c r="D48" s="116">
        <v>0.0024888228316297637</v>
      </c>
      <c r="E48" s="116">
        <v>2.452921698180688</v>
      </c>
      <c r="F48" s="114" t="s">
        <v>2559</v>
      </c>
      <c r="G48" s="114" t="b">
        <v>0</v>
      </c>
      <c r="H48" s="114" t="b">
        <v>0</v>
      </c>
      <c r="I48" s="114" t="b">
        <v>0</v>
      </c>
      <c r="J48" s="114" t="b">
        <v>0</v>
      </c>
      <c r="K48" s="114" t="b">
        <v>0</v>
      </c>
      <c r="L48" s="114" t="b">
        <v>0</v>
      </c>
    </row>
    <row r="49" spans="1:12" ht="15">
      <c r="A49" s="114" t="s">
        <v>1768</v>
      </c>
      <c r="B49" s="114" t="s">
        <v>1769</v>
      </c>
      <c r="C49" s="114">
        <v>12</v>
      </c>
      <c r="D49" s="116">
        <v>0.0020329470179033912</v>
      </c>
      <c r="E49" s="116">
        <v>2.133520012445664</v>
      </c>
      <c r="F49" s="114" t="s">
        <v>2559</v>
      </c>
      <c r="G49" s="114" t="b">
        <v>0</v>
      </c>
      <c r="H49" s="114" t="b">
        <v>0</v>
      </c>
      <c r="I49" s="114" t="b">
        <v>0</v>
      </c>
      <c r="J49" s="114" t="b">
        <v>0</v>
      </c>
      <c r="K49" s="114" t="b">
        <v>0</v>
      </c>
      <c r="L49" s="114" t="b">
        <v>0</v>
      </c>
    </row>
    <row r="50" spans="1:12" ht="15">
      <c r="A50" s="114" t="s">
        <v>1769</v>
      </c>
      <c r="B50" s="114" t="s">
        <v>1769</v>
      </c>
      <c r="C50" s="114">
        <v>12</v>
      </c>
      <c r="D50" s="116">
        <v>0.0020329470179033912</v>
      </c>
      <c r="E50" s="116">
        <v>2.1505533517444446</v>
      </c>
      <c r="F50" s="114" t="s">
        <v>2559</v>
      </c>
      <c r="G50" s="114" t="b">
        <v>0</v>
      </c>
      <c r="H50" s="114" t="b">
        <v>0</v>
      </c>
      <c r="I50" s="114" t="b">
        <v>0</v>
      </c>
      <c r="J50" s="114" t="b">
        <v>0</v>
      </c>
      <c r="K50" s="114" t="b">
        <v>0</v>
      </c>
      <c r="L50" s="114" t="b">
        <v>0</v>
      </c>
    </row>
    <row r="51" spans="1:12" ht="15">
      <c r="A51" s="114" t="s">
        <v>1832</v>
      </c>
      <c r="B51" s="114" t="s">
        <v>1772</v>
      </c>
      <c r="C51" s="114">
        <v>12</v>
      </c>
      <c r="D51" s="116">
        <v>0.0020329470179033912</v>
      </c>
      <c r="E51" s="116">
        <v>2.4693121143688574</v>
      </c>
      <c r="F51" s="114" t="s">
        <v>2559</v>
      </c>
      <c r="G51" s="114" t="b">
        <v>0</v>
      </c>
      <c r="H51" s="114" t="b">
        <v>0</v>
      </c>
      <c r="I51" s="114" t="b">
        <v>0</v>
      </c>
      <c r="J51" s="114" t="b">
        <v>0</v>
      </c>
      <c r="K51" s="114" t="b">
        <v>0</v>
      </c>
      <c r="L51" s="114" t="b">
        <v>0</v>
      </c>
    </row>
    <row r="52" spans="1:12" ht="15">
      <c r="A52" s="114" t="s">
        <v>1740</v>
      </c>
      <c r="B52" s="114" t="s">
        <v>1766</v>
      </c>
      <c r="C52" s="114">
        <v>11</v>
      </c>
      <c r="D52" s="116">
        <v>0.0019159923850110632</v>
      </c>
      <c r="E52" s="116">
        <v>0.9666367551768067</v>
      </c>
      <c r="F52" s="114" t="s">
        <v>2559</v>
      </c>
      <c r="G52" s="114" t="b">
        <v>0</v>
      </c>
      <c r="H52" s="114" t="b">
        <v>0</v>
      </c>
      <c r="I52" s="114" t="b">
        <v>0</v>
      </c>
      <c r="J52" s="114" t="b">
        <v>0</v>
      </c>
      <c r="K52" s="114" t="b">
        <v>1</v>
      </c>
      <c r="L52" s="114" t="b">
        <v>0</v>
      </c>
    </row>
    <row r="53" spans="1:12" ht="15">
      <c r="A53" s="114" t="s">
        <v>1854</v>
      </c>
      <c r="B53" s="114" t="s">
        <v>1855</v>
      </c>
      <c r="C53" s="114">
        <v>11</v>
      </c>
      <c r="D53" s="116">
        <v>0.0023913393674750046</v>
      </c>
      <c r="E53" s="116">
        <v>2.8428927771814503</v>
      </c>
      <c r="F53" s="114" t="s">
        <v>2559</v>
      </c>
      <c r="G53" s="114" t="b">
        <v>0</v>
      </c>
      <c r="H53" s="114" t="b">
        <v>0</v>
      </c>
      <c r="I53" s="114" t="b">
        <v>0</v>
      </c>
      <c r="J53" s="114" t="b">
        <v>0</v>
      </c>
      <c r="K53" s="114" t="b">
        <v>0</v>
      </c>
      <c r="L53" s="114" t="b">
        <v>0</v>
      </c>
    </row>
    <row r="54" spans="1:12" ht="15">
      <c r="A54" s="114" t="s">
        <v>1763</v>
      </c>
      <c r="B54" s="114" t="s">
        <v>1786</v>
      </c>
      <c r="C54" s="114">
        <v>11</v>
      </c>
      <c r="D54" s="116">
        <v>0.0019159923850110632</v>
      </c>
      <c r="E54" s="116">
        <v>2.141060854865025</v>
      </c>
      <c r="F54" s="114" t="s">
        <v>2559</v>
      </c>
      <c r="G54" s="114" t="b">
        <v>0</v>
      </c>
      <c r="H54" s="114" t="b">
        <v>0</v>
      </c>
      <c r="I54" s="114" t="b">
        <v>0</v>
      </c>
      <c r="J54" s="114" t="b">
        <v>0</v>
      </c>
      <c r="K54" s="114" t="b">
        <v>0</v>
      </c>
      <c r="L54" s="114" t="b">
        <v>0</v>
      </c>
    </row>
    <row r="55" spans="1:12" ht="15">
      <c r="A55" s="114" t="s">
        <v>1752</v>
      </c>
      <c r="B55" s="114" t="s">
        <v>1754</v>
      </c>
      <c r="C55" s="114">
        <v>11</v>
      </c>
      <c r="D55" s="116">
        <v>0.0019159923850110632</v>
      </c>
      <c r="E55" s="116">
        <v>1.6515202982342205</v>
      </c>
      <c r="F55" s="114" t="s">
        <v>2559</v>
      </c>
      <c r="G55" s="114" t="b">
        <v>0</v>
      </c>
      <c r="H55" s="114" t="b">
        <v>0</v>
      </c>
      <c r="I55" s="114" t="b">
        <v>0</v>
      </c>
      <c r="J55" s="114" t="b">
        <v>0</v>
      </c>
      <c r="K55" s="114" t="b">
        <v>0</v>
      </c>
      <c r="L55" s="114" t="b">
        <v>0</v>
      </c>
    </row>
    <row r="56" spans="1:12" ht="15">
      <c r="A56" s="114" t="s">
        <v>1741</v>
      </c>
      <c r="B56" s="114" t="s">
        <v>1741</v>
      </c>
      <c r="C56" s="114">
        <v>10</v>
      </c>
      <c r="D56" s="116">
        <v>0.001851793813011744</v>
      </c>
      <c r="E56" s="116">
        <v>0.01397521556476435</v>
      </c>
      <c r="F56" s="114" t="s">
        <v>2559</v>
      </c>
      <c r="G56" s="114" t="b">
        <v>0</v>
      </c>
      <c r="H56" s="114" t="b">
        <v>0</v>
      </c>
      <c r="I56" s="114" t="b">
        <v>0</v>
      </c>
      <c r="J56" s="114" t="b">
        <v>0</v>
      </c>
      <c r="K56" s="114" t="b">
        <v>0</v>
      </c>
      <c r="L56" s="114" t="b">
        <v>0</v>
      </c>
    </row>
    <row r="57" spans="1:12" ht="15">
      <c r="A57" s="114" t="s">
        <v>1747</v>
      </c>
      <c r="B57" s="114" t="s">
        <v>1845</v>
      </c>
      <c r="C57" s="114">
        <v>10</v>
      </c>
      <c r="D57" s="116">
        <v>0.0021739448795227313</v>
      </c>
      <c r="E57" s="116">
        <v>1.95079817449097</v>
      </c>
      <c r="F57" s="114" t="s">
        <v>2559</v>
      </c>
      <c r="G57" s="114" t="b">
        <v>0</v>
      </c>
      <c r="H57" s="114" t="b">
        <v>0</v>
      </c>
      <c r="I57" s="114" t="b">
        <v>0</v>
      </c>
      <c r="J57" s="114" t="b">
        <v>0</v>
      </c>
      <c r="K57" s="114" t="b">
        <v>0</v>
      </c>
      <c r="L57" s="114" t="b">
        <v>0</v>
      </c>
    </row>
    <row r="58" spans="1:12" ht="15">
      <c r="A58" s="114" t="s">
        <v>1740</v>
      </c>
      <c r="B58" s="114" t="s">
        <v>1741</v>
      </c>
      <c r="C58" s="114">
        <v>10</v>
      </c>
      <c r="D58" s="116">
        <v>0.0017940483680840876</v>
      </c>
      <c r="E58" s="116">
        <v>-0.09841984817921184</v>
      </c>
      <c r="F58" s="114" t="s">
        <v>2559</v>
      </c>
      <c r="G58" s="114" t="b">
        <v>0</v>
      </c>
      <c r="H58" s="114" t="b">
        <v>0</v>
      </c>
      <c r="I58" s="114" t="b">
        <v>0</v>
      </c>
      <c r="J58" s="114" t="b">
        <v>0</v>
      </c>
      <c r="K58" s="114" t="b">
        <v>0</v>
      </c>
      <c r="L58" s="114" t="b">
        <v>0</v>
      </c>
    </row>
    <row r="59" spans="1:12" ht="15">
      <c r="A59" s="114" t="s">
        <v>1869</v>
      </c>
      <c r="B59" s="114" t="s">
        <v>1870</v>
      </c>
      <c r="C59" s="114">
        <v>10</v>
      </c>
      <c r="D59" s="116">
        <v>0.0017940483680840876</v>
      </c>
      <c r="E59" s="116">
        <v>2.884285462339675</v>
      </c>
      <c r="F59" s="114" t="s">
        <v>2559</v>
      </c>
      <c r="G59" s="114" t="b">
        <v>0</v>
      </c>
      <c r="H59" s="114" t="b">
        <v>0</v>
      </c>
      <c r="I59" s="114" t="b">
        <v>0</v>
      </c>
      <c r="J59" s="114" t="b">
        <v>0</v>
      </c>
      <c r="K59" s="114" t="b">
        <v>0</v>
      </c>
      <c r="L59" s="114" t="b">
        <v>0</v>
      </c>
    </row>
    <row r="60" spans="1:12" ht="15">
      <c r="A60" s="114" t="s">
        <v>1872</v>
      </c>
      <c r="B60" s="114" t="s">
        <v>1788</v>
      </c>
      <c r="C60" s="114">
        <v>10</v>
      </c>
      <c r="D60" s="116">
        <v>0.002296244239704529</v>
      </c>
      <c r="E60" s="116">
        <v>2.6055318613868463</v>
      </c>
      <c r="F60" s="114" t="s">
        <v>2559</v>
      </c>
      <c r="G60" s="114" t="b">
        <v>0</v>
      </c>
      <c r="H60" s="114" t="b">
        <v>0</v>
      </c>
      <c r="I60" s="114" t="b">
        <v>0</v>
      </c>
      <c r="J60" s="114" t="b">
        <v>0</v>
      </c>
      <c r="K60" s="114" t="b">
        <v>0</v>
      </c>
      <c r="L60" s="114" t="b">
        <v>0</v>
      </c>
    </row>
    <row r="61" spans="1:12" ht="15">
      <c r="A61" s="114" t="s">
        <v>1739</v>
      </c>
      <c r="B61" s="114" t="s">
        <v>1744</v>
      </c>
      <c r="C61" s="114">
        <v>10</v>
      </c>
      <c r="D61" s="116">
        <v>0.001851793813011744</v>
      </c>
      <c r="E61" s="116">
        <v>0.1726469241073262</v>
      </c>
      <c r="F61" s="114" t="s">
        <v>2559</v>
      </c>
      <c r="G61" s="114" t="b">
        <v>0</v>
      </c>
      <c r="H61" s="114" t="b">
        <v>0</v>
      </c>
      <c r="I61" s="114" t="b">
        <v>0</v>
      </c>
      <c r="J61" s="114" t="b">
        <v>0</v>
      </c>
      <c r="K61" s="114" t="b">
        <v>0</v>
      </c>
      <c r="L61" s="114" t="b">
        <v>0</v>
      </c>
    </row>
    <row r="62" spans="1:12" ht="15">
      <c r="A62" s="114" t="s">
        <v>1739</v>
      </c>
      <c r="B62" s="114" t="s">
        <v>1818</v>
      </c>
      <c r="C62" s="114">
        <v>10</v>
      </c>
      <c r="D62" s="116">
        <v>0.0019163477282658852</v>
      </c>
      <c r="E62" s="116">
        <v>1.0435522277278686</v>
      </c>
      <c r="F62" s="114" t="s">
        <v>2559</v>
      </c>
      <c r="G62" s="114" t="b">
        <v>0</v>
      </c>
      <c r="H62" s="114" t="b">
        <v>0</v>
      </c>
      <c r="I62" s="114" t="b">
        <v>0</v>
      </c>
      <c r="J62" s="114" t="b">
        <v>0</v>
      </c>
      <c r="K62" s="114" t="b">
        <v>0</v>
      </c>
      <c r="L62" s="114" t="b">
        <v>0</v>
      </c>
    </row>
    <row r="63" spans="1:12" ht="15">
      <c r="A63" s="114" t="s">
        <v>1857</v>
      </c>
      <c r="B63" s="114" t="s">
        <v>1858</v>
      </c>
      <c r="C63" s="114">
        <v>10</v>
      </c>
      <c r="D63" s="116">
        <v>0.0017940483680840876</v>
      </c>
      <c r="E63" s="116">
        <v>2.8015000920232254</v>
      </c>
      <c r="F63" s="114" t="s">
        <v>2559</v>
      </c>
      <c r="G63" s="114" t="b">
        <v>0</v>
      </c>
      <c r="H63" s="114" t="b">
        <v>0</v>
      </c>
      <c r="I63" s="114" t="b">
        <v>0</v>
      </c>
      <c r="J63" s="114" t="b">
        <v>0</v>
      </c>
      <c r="K63" s="114" t="b">
        <v>0</v>
      </c>
      <c r="L63" s="114" t="b">
        <v>0</v>
      </c>
    </row>
    <row r="64" spans="1:12" ht="15">
      <c r="A64" s="114" t="s">
        <v>1739</v>
      </c>
      <c r="B64" s="114" t="s">
        <v>1771</v>
      </c>
      <c r="C64" s="114">
        <v>10</v>
      </c>
      <c r="D64" s="116">
        <v>0.001851793813011744</v>
      </c>
      <c r="E64" s="116">
        <v>0.8094690216945005</v>
      </c>
      <c r="F64" s="114" t="s">
        <v>2559</v>
      </c>
      <c r="G64" s="114" t="b">
        <v>0</v>
      </c>
      <c r="H64" s="114" t="b">
        <v>0</v>
      </c>
      <c r="I64" s="114" t="b">
        <v>0</v>
      </c>
      <c r="J64" s="114" t="b">
        <v>0</v>
      </c>
      <c r="K64" s="114" t="b">
        <v>1</v>
      </c>
      <c r="L64" s="114" t="b">
        <v>0</v>
      </c>
    </row>
    <row r="65" spans="1:12" ht="15">
      <c r="A65" s="114" t="s">
        <v>1861</v>
      </c>
      <c r="B65" s="114" t="s">
        <v>1754</v>
      </c>
      <c r="C65" s="114">
        <v>10</v>
      </c>
      <c r="D65" s="116">
        <v>0.0017940483680840876</v>
      </c>
      <c r="E65" s="116">
        <v>2.2408327858534878</v>
      </c>
      <c r="F65" s="114" t="s">
        <v>2559</v>
      </c>
      <c r="G65" s="114" t="b">
        <v>0</v>
      </c>
      <c r="H65" s="114" t="b">
        <v>0</v>
      </c>
      <c r="I65" s="114" t="b">
        <v>0</v>
      </c>
      <c r="J65" s="114" t="b">
        <v>0</v>
      </c>
      <c r="K65" s="114" t="b">
        <v>0</v>
      </c>
      <c r="L65" s="114" t="b">
        <v>0</v>
      </c>
    </row>
    <row r="66" spans="1:12" ht="15">
      <c r="A66" s="114" t="s">
        <v>1754</v>
      </c>
      <c r="B66" s="114" t="s">
        <v>1768</v>
      </c>
      <c r="C66" s="114">
        <v>10</v>
      </c>
      <c r="D66" s="116">
        <v>0.0017940483680840876</v>
      </c>
      <c r="E66" s="116">
        <v>1.8952808466411386</v>
      </c>
      <c r="F66" s="114" t="s">
        <v>2559</v>
      </c>
      <c r="G66" s="114" t="b">
        <v>0</v>
      </c>
      <c r="H66" s="114" t="b">
        <v>0</v>
      </c>
      <c r="I66" s="114" t="b">
        <v>0</v>
      </c>
      <c r="J66" s="114" t="b">
        <v>0</v>
      </c>
      <c r="K66" s="114" t="b">
        <v>0</v>
      </c>
      <c r="L66" s="114" t="b">
        <v>0</v>
      </c>
    </row>
    <row r="67" spans="1:12" ht="15">
      <c r="A67" s="114" t="s">
        <v>1763</v>
      </c>
      <c r="B67" s="114" t="s">
        <v>1885</v>
      </c>
      <c r="C67" s="114">
        <v>10</v>
      </c>
      <c r="D67" s="116">
        <v>0.0017940483680840876</v>
      </c>
      <c r="E67" s="116">
        <v>2.421887464440719</v>
      </c>
      <c r="F67" s="114" t="s">
        <v>2559</v>
      </c>
      <c r="G67" s="114" t="b">
        <v>0</v>
      </c>
      <c r="H67" s="114" t="b">
        <v>0</v>
      </c>
      <c r="I67" s="114" t="b">
        <v>0</v>
      </c>
      <c r="J67" s="114" t="b">
        <v>0</v>
      </c>
      <c r="K67" s="114" t="b">
        <v>0</v>
      </c>
      <c r="L67" s="114" t="b">
        <v>0</v>
      </c>
    </row>
    <row r="68" spans="1:12" ht="15">
      <c r="A68" s="114" t="s">
        <v>1885</v>
      </c>
      <c r="B68" s="114" t="s">
        <v>1754</v>
      </c>
      <c r="C68" s="114">
        <v>10</v>
      </c>
      <c r="D68" s="116">
        <v>0.0017940483680840876</v>
      </c>
      <c r="E68" s="116">
        <v>2.2822254710117127</v>
      </c>
      <c r="F68" s="114" t="s">
        <v>2559</v>
      </c>
      <c r="G68" s="114" t="b">
        <v>0</v>
      </c>
      <c r="H68" s="114" t="b">
        <v>0</v>
      </c>
      <c r="I68" s="114" t="b">
        <v>0</v>
      </c>
      <c r="J68" s="114" t="b">
        <v>0</v>
      </c>
      <c r="K68" s="114" t="b">
        <v>0</v>
      </c>
      <c r="L68" s="114" t="b">
        <v>0</v>
      </c>
    </row>
    <row r="69" spans="1:12" ht="15">
      <c r="A69" s="114" t="s">
        <v>1754</v>
      </c>
      <c r="B69" s="114" t="s">
        <v>1763</v>
      </c>
      <c r="C69" s="114">
        <v>10</v>
      </c>
      <c r="D69" s="116">
        <v>0.0017940483680840876</v>
      </c>
      <c r="E69" s="116">
        <v>1.83082285741422</v>
      </c>
      <c r="F69" s="114" t="s">
        <v>2559</v>
      </c>
      <c r="G69" s="114" t="b">
        <v>0</v>
      </c>
      <c r="H69" s="114" t="b">
        <v>0</v>
      </c>
      <c r="I69" s="114" t="b">
        <v>0</v>
      </c>
      <c r="J69" s="114" t="b">
        <v>0</v>
      </c>
      <c r="K69" s="114" t="b">
        <v>0</v>
      </c>
      <c r="L69" s="114" t="b">
        <v>0</v>
      </c>
    </row>
    <row r="70" spans="1:12" ht="15">
      <c r="A70" s="114" t="s">
        <v>1786</v>
      </c>
      <c r="B70" s="114" t="s">
        <v>1752</v>
      </c>
      <c r="C70" s="114">
        <v>10</v>
      </c>
      <c r="D70" s="116">
        <v>0.0017940483680840876</v>
      </c>
      <c r="E70" s="116">
        <v>1.8899683096700386</v>
      </c>
      <c r="F70" s="114" t="s">
        <v>2559</v>
      </c>
      <c r="G70" s="114" t="b">
        <v>0</v>
      </c>
      <c r="H70" s="114" t="b">
        <v>0</v>
      </c>
      <c r="I70" s="114" t="b">
        <v>0</v>
      </c>
      <c r="J70" s="114" t="b">
        <v>0</v>
      </c>
      <c r="K70" s="114" t="b">
        <v>0</v>
      </c>
      <c r="L70" s="114" t="b">
        <v>0</v>
      </c>
    </row>
    <row r="71" spans="1:12" ht="15">
      <c r="A71" s="114" t="s">
        <v>1786</v>
      </c>
      <c r="B71" s="114" t="s">
        <v>1832</v>
      </c>
      <c r="C71" s="114">
        <v>10</v>
      </c>
      <c r="D71" s="116">
        <v>0.0017940483680840876</v>
      </c>
      <c r="E71" s="116">
        <v>2.448122815298919</v>
      </c>
      <c r="F71" s="114" t="s">
        <v>2559</v>
      </c>
      <c r="G71" s="114" t="b">
        <v>0</v>
      </c>
      <c r="H71" s="114" t="b">
        <v>0</v>
      </c>
      <c r="I71" s="114" t="b">
        <v>0</v>
      </c>
      <c r="J71" s="114" t="b">
        <v>0</v>
      </c>
      <c r="K71" s="114" t="b">
        <v>0</v>
      </c>
      <c r="L71" s="114" t="b">
        <v>0</v>
      </c>
    </row>
    <row r="72" spans="1:12" ht="15">
      <c r="A72" s="114" t="s">
        <v>1748</v>
      </c>
      <c r="B72" s="114" t="s">
        <v>1741</v>
      </c>
      <c r="C72" s="114">
        <v>9</v>
      </c>
      <c r="D72" s="116">
        <v>0.0017247129554392967</v>
      </c>
      <c r="E72" s="116">
        <v>0.5418627815174691</v>
      </c>
      <c r="F72" s="114" t="s">
        <v>2559</v>
      </c>
      <c r="G72" s="114" t="b">
        <v>0</v>
      </c>
      <c r="H72" s="114" t="b">
        <v>0</v>
      </c>
      <c r="I72" s="114" t="b">
        <v>0</v>
      </c>
      <c r="J72" s="114" t="b">
        <v>0</v>
      </c>
      <c r="K72" s="114" t="b">
        <v>0</v>
      </c>
      <c r="L72" s="114" t="b">
        <v>0</v>
      </c>
    </row>
    <row r="73" spans="1:12" ht="15">
      <c r="A73" s="114" t="s">
        <v>1746</v>
      </c>
      <c r="B73" s="114" t="s">
        <v>1744</v>
      </c>
      <c r="C73" s="114">
        <v>9</v>
      </c>
      <c r="D73" s="116">
        <v>0.0019565503915704584</v>
      </c>
      <c r="E73" s="116">
        <v>0.8920757067659271</v>
      </c>
      <c r="F73" s="114" t="s">
        <v>2559</v>
      </c>
      <c r="G73" s="114" t="b">
        <v>0</v>
      </c>
      <c r="H73" s="114" t="b">
        <v>1</v>
      </c>
      <c r="I73" s="114" t="b">
        <v>0</v>
      </c>
      <c r="J73" s="114" t="b">
        <v>0</v>
      </c>
      <c r="K73" s="114" t="b">
        <v>0</v>
      </c>
      <c r="L73" s="114" t="b">
        <v>0</v>
      </c>
    </row>
    <row r="74" spans="1:12" ht="15">
      <c r="A74" s="114" t="s">
        <v>1746</v>
      </c>
      <c r="B74" s="114" t="s">
        <v>1746</v>
      </c>
      <c r="C74" s="114">
        <v>9</v>
      </c>
      <c r="D74" s="116">
        <v>0.0017247129554392967</v>
      </c>
      <c r="E74" s="116">
        <v>0.9746105948211398</v>
      </c>
      <c r="F74" s="114" t="s">
        <v>2559</v>
      </c>
      <c r="G74" s="114" t="b">
        <v>0</v>
      </c>
      <c r="H74" s="114" t="b">
        <v>1</v>
      </c>
      <c r="I74" s="114" t="b">
        <v>0</v>
      </c>
      <c r="J74" s="114" t="b">
        <v>0</v>
      </c>
      <c r="K74" s="114" t="b">
        <v>1</v>
      </c>
      <c r="L74" s="114" t="b">
        <v>0</v>
      </c>
    </row>
    <row r="75" spans="1:12" ht="15">
      <c r="A75" s="114" t="s">
        <v>1751</v>
      </c>
      <c r="B75" s="114" t="s">
        <v>1744</v>
      </c>
      <c r="C75" s="114">
        <v>9</v>
      </c>
      <c r="D75" s="116">
        <v>0.0016666144317105697</v>
      </c>
      <c r="E75" s="116">
        <v>1.1493967745445024</v>
      </c>
      <c r="F75" s="114" t="s">
        <v>2559</v>
      </c>
      <c r="G75" s="114" t="b">
        <v>0</v>
      </c>
      <c r="H75" s="114" t="b">
        <v>1</v>
      </c>
      <c r="I75" s="114" t="b">
        <v>0</v>
      </c>
      <c r="J75" s="114" t="b">
        <v>0</v>
      </c>
      <c r="K75" s="114" t="b">
        <v>0</v>
      </c>
      <c r="L75" s="114" t="b">
        <v>0</v>
      </c>
    </row>
    <row r="76" spans="1:12" ht="15">
      <c r="A76" s="114" t="s">
        <v>1739</v>
      </c>
      <c r="B76" s="114" t="s">
        <v>1825</v>
      </c>
      <c r="C76" s="114">
        <v>9</v>
      </c>
      <c r="D76" s="116">
        <v>0.0016666144317105697</v>
      </c>
      <c r="E76" s="116">
        <v>1.0299794205385946</v>
      </c>
      <c r="F76" s="114" t="s">
        <v>2559</v>
      </c>
      <c r="G76" s="114" t="b">
        <v>0</v>
      </c>
      <c r="H76" s="114" t="b">
        <v>0</v>
      </c>
      <c r="I76" s="114" t="b">
        <v>0</v>
      </c>
      <c r="J76" s="114" t="b">
        <v>0</v>
      </c>
      <c r="K76" s="114" t="b">
        <v>0</v>
      </c>
      <c r="L76" s="114" t="b">
        <v>0</v>
      </c>
    </row>
    <row r="77" spans="1:12" ht="15">
      <c r="A77" s="114" t="s">
        <v>1796</v>
      </c>
      <c r="B77" s="114" t="s">
        <v>1893</v>
      </c>
      <c r="C77" s="114">
        <v>9</v>
      </c>
      <c r="D77" s="116">
        <v>0.0017247129554392967</v>
      </c>
      <c r="E77" s="116">
        <v>2.629012957236369</v>
      </c>
      <c r="F77" s="114" t="s">
        <v>2559</v>
      </c>
      <c r="G77" s="114" t="b">
        <v>0</v>
      </c>
      <c r="H77" s="114" t="b">
        <v>0</v>
      </c>
      <c r="I77" s="114" t="b">
        <v>0</v>
      </c>
      <c r="J77" s="114" t="b">
        <v>0</v>
      </c>
      <c r="K77" s="114" t="b">
        <v>0</v>
      </c>
      <c r="L77" s="114" t="b">
        <v>0</v>
      </c>
    </row>
    <row r="78" spans="1:12" ht="15">
      <c r="A78" s="114" t="s">
        <v>1739</v>
      </c>
      <c r="B78" s="114" t="s">
        <v>1767</v>
      </c>
      <c r="C78" s="114">
        <v>9</v>
      </c>
      <c r="D78" s="116">
        <v>0.0018666171237223229</v>
      </c>
      <c r="E78" s="116">
        <v>0.7289494248746134</v>
      </c>
      <c r="F78" s="114" t="s">
        <v>2559</v>
      </c>
      <c r="G78" s="114" t="b">
        <v>0</v>
      </c>
      <c r="H78" s="114" t="b">
        <v>0</v>
      </c>
      <c r="I78" s="114" t="b">
        <v>0</v>
      </c>
      <c r="J78" s="114" t="b">
        <v>0</v>
      </c>
      <c r="K78" s="114" t="b">
        <v>0</v>
      </c>
      <c r="L78" s="114" t="b">
        <v>0</v>
      </c>
    </row>
    <row r="79" spans="1:12" ht="15">
      <c r="A79" s="114" t="s">
        <v>1742</v>
      </c>
      <c r="B79" s="114" t="s">
        <v>1744</v>
      </c>
      <c r="C79" s="114">
        <v>9</v>
      </c>
      <c r="D79" s="116">
        <v>0.0017247129554392967</v>
      </c>
      <c r="E79" s="116">
        <v>0.45227877507007697</v>
      </c>
      <c r="F79" s="114" t="s">
        <v>2559</v>
      </c>
      <c r="G79" s="114" t="b">
        <v>0</v>
      </c>
      <c r="H79" s="114" t="b">
        <v>0</v>
      </c>
      <c r="I79" s="114" t="b">
        <v>0</v>
      </c>
      <c r="J79" s="114" t="b">
        <v>0</v>
      </c>
      <c r="K79" s="114" t="b">
        <v>0</v>
      </c>
      <c r="L79" s="114" t="b">
        <v>0</v>
      </c>
    </row>
    <row r="80" spans="1:12" ht="15">
      <c r="A80" s="114" t="s">
        <v>1828</v>
      </c>
      <c r="B80" s="114" t="s">
        <v>1901</v>
      </c>
      <c r="C80" s="114">
        <v>9</v>
      </c>
      <c r="D80" s="116">
        <v>0.002066619815734076</v>
      </c>
      <c r="E80" s="116">
        <v>2.8051042162920505</v>
      </c>
      <c r="F80" s="114" t="s">
        <v>2559</v>
      </c>
      <c r="G80" s="114" t="b">
        <v>0</v>
      </c>
      <c r="H80" s="114" t="b">
        <v>0</v>
      </c>
      <c r="I80" s="114" t="b">
        <v>0</v>
      </c>
      <c r="J80" s="114" t="b">
        <v>0</v>
      </c>
      <c r="K80" s="114" t="b">
        <v>0</v>
      </c>
      <c r="L80" s="114" t="b">
        <v>0</v>
      </c>
    </row>
    <row r="81" spans="1:12" ht="15">
      <c r="A81" s="114" t="s">
        <v>1829</v>
      </c>
      <c r="B81" s="114" t="s">
        <v>1859</v>
      </c>
      <c r="C81" s="114">
        <v>9</v>
      </c>
      <c r="D81" s="116">
        <v>0.0024085266760288555</v>
      </c>
      <c r="E81" s="116">
        <v>2.6831919343139385</v>
      </c>
      <c r="F81" s="114" t="s">
        <v>2559</v>
      </c>
      <c r="G81" s="114" t="b">
        <v>0</v>
      </c>
      <c r="H81" s="114" t="b">
        <v>0</v>
      </c>
      <c r="I81" s="114" t="b">
        <v>0</v>
      </c>
      <c r="J81" s="114" t="b">
        <v>0</v>
      </c>
      <c r="K81" s="114" t="b">
        <v>0</v>
      </c>
      <c r="L81" s="114" t="b">
        <v>0</v>
      </c>
    </row>
    <row r="82" spans="1:12" ht="15">
      <c r="A82" s="114" t="s">
        <v>1745</v>
      </c>
      <c r="B82" s="114" t="s">
        <v>1745</v>
      </c>
      <c r="C82" s="114">
        <v>9</v>
      </c>
      <c r="D82" s="116">
        <v>0.0018666171237223229</v>
      </c>
      <c r="E82" s="116">
        <v>0.9300429529003504</v>
      </c>
      <c r="F82" s="114" t="s">
        <v>2559</v>
      </c>
      <c r="G82" s="114" t="b">
        <v>0</v>
      </c>
      <c r="H82" s="114" t="b">
        <v>0</v>
      </c>
      <c r="I82" s="114" t="b">
        <v>0</v>
      </c>
      <c r="J82" s="114" t="b">
        <v>0</v>
      </c>
      <c r="K82" s="114" t="b">
        <v>0</v>
      </c>
      <c r="L82" s="114" t="b">
        <v>0</v>
      </c>
    </row>
    <row r="83" spans="1:12" ht="15">
      <c r="A83" s="114" t="s">
        <v>1759</v>
      </c>
      <c r="B83" s="114" t="s">
        <v>1762</v>
      </c>
      <c r="C83" s="114">
        <v>9</v>
      </c>
      <c r="D83" s="116">
        <v>0.0019565503915704584</v>
      </c>
      <c r="E83" s="116">
        <v>1.9716501574415013</v>
      </c>
      <c r="F83" s="114" t="s">
        <v>2559</v>
      </c>
      <c r="G83" s="114" t="b">
        <v>0</v>
      </c>
      <c r="H83" s="114" t="b">
        <v>0</v>
      </c>
      <c r="I83" s="114" t="b">
        <v>0</v>
      </c>
      <c r="J83" s="114" t="b">
        <v>0</v>
      </c>
      <c r="K83" s="114" t="b">
        <v>0</v>
      </c>
      <c r="L83" s="114" t="b">
        <v>0</v>
      </c>
    </row>
    <row r="84" spans="1:12" ht="15">
      <c r="A84" s="114" t="s">
        <v>1754</v>
      </c>
      <c r="B84" s="114" t="s">
        <v>1752</v>
      </c>
      <c r="C84" s="114">
        <v>9</v>
      </c>
      <c r="D84" s="116">
        <v>0.0016666144317105697</v>
      </c>
      <c r="E84" s="116">
        <v>1.5753655068167836</v>
      </c>
      <c r="F84" s="114" t="s">
        <v>2559</v>
      </c>
      <c r="G84" s="114" t="b">
        <v>0</v>
      </c>
      <c r="H84" s="114" t="b">
        <v>0</v>
      </c>
      <c r="I84" s="114" t="b">
        <v>0</v>
      </c>
      <c r="J84" s="114" t="b">
        <v>0</v>
      </c>
      <c r="K84" s="114" t="b">
        <v>0</v>
      </c>
      <c r="L84" s="114" t="b">
        <v>0</v>
      </c>
    </row>
    <row r="85" spans="1:12" ht="15">
      <c r="A85" s="114" t="s">
        <v>1752</v>
      </c>
      <c r="B85" s="114" t="s">
        <v>1905</v>
      </c>
      <c r="C85" s="114">
        <v>9</v>
      </c>
      <c r="D85" s="116">
        <v>0.0016666144317105697</v>
      </c>
      <c r="E85" s="116">
        <v>2.2121876044039577</v>
      </c>
      <c r="F85" s="114" t="s">
        <v>2559</v>
      </c>
      <c r="G85" s="114" t="b">
        <v>0</v>
      </c>
      <c r="H85" s="114" t="b">
        <v>0</v>
      </c>
      <c r="I85" s="114" t="b">
        <v>0</v>
      </c>
      <c r="J85" s="114" t="b">
        <v>0</v>
      </c>
      <c r="K85" s="114" t="b">
        <v>0</v>
      </c>
      <c r="L85" s="114" t="b">
        <v>0</v>
      </c>
    </row>
    <row r="86" spans="1:12" ht="15">
      <c r="A86" s="114" t="s">
        <v>1905</v>
      </c>
      <c r="B86" s="114" t="s">
        <v>1786</v>
      </c>
      <c r="C86" s="114">
        <v>9</v>
      </c>
      <c r="D86" s="116">
        <v>0.0016666144317105697</v>
      </c>
      <c r="E86" s="116">
        <v>2.562066167605756</v>
      </c>
      <c r="F86" s="114" t="s">
        <v>2559</v>
      </c>
      <c r="G86" s="114" t="b">
        <v>0</v>
      </c>
      <c r="H86" s="114" t="b">
        <v>0</v>
      </c>
      <c r="I86" s="114" t="b">
        <v>0</v>
      </c>
      <c r="J86" s="114" t="b">
        <v>0</v>
      </c>
      <c r="K86" s="114" t="b">
        <v>0</v>
      </c>
      <c r="L86" s="114" t="b">
        <v>0</v>
      </c>
    </row>
    <row r="87" spans="1:12" ht="15">
      <c r="A87" s="114" t="s">
        <v>1862</v>
      </c>
      <c r="B87" s="114" t="s">
        <v>1831</v>
      </c>
      <c r="C87" s="114">
        <v>9</v>
      </c>
      <c r="D87" s="116">
        <v>0.0016666144317105697</v>
      </c>
      <c r="E87" s="116">
        <v>2.6831919343139385</v>
      </c>
      <c r="F87" s="114" t="s">
        <v>2559</v>
      </c>
      <c r="G87" s="114" t="b">
        <v>0</v>
      </c>
      <c r="H87" s="114" t="b">
        <v>0</v>
      </c>
      <c r="I87" s="114" t="b">
        <v>0</v>
      </c>
      <c r="J87" s="114" t="b">
        <v>0</v>
      </c>
      <c r="K87" s="114" t="b">
        <v>0</v>
      </c>
      <c r="L87" s="114" t="b">
        <v>0</v>
      </c>
    </row>
    <row r="88" spans="1:12" ht="15">
      <c r="A88" s="114" t="s">
        <v>1831</v>
      </c>
      <c r="B88" s="114" t="s">
        <v>1906</v>
      </c>
      <c r="C88" s="114">
        <v>9</v>
      </c>
      <c r="D88" s="116">
        <v>0.0016666144317105697</v>
      </c>
      <c r="E88" s="116">
        <v>2.7703421100328383</v>
      </c>
      <c r="F88" s="114" t="s">
        <v>2559</v>
      </c>
      <c r="G88" s="114" t="b">
        <v>0</v>
      </c>
      <c r="H88" s="114" t="b">
        <v>0</v>
      </c>
      <c r="I88" s="114" t="b">
        <v>0</v>
      </c>
      <c r="J88" s="114" t="b">
        <v>0</v>
      </c>
      <c r="K88" s="114" t="b">
        <v>0</v>
      </c>
      <c r="L88" s="114" t="b">
        <v>0</v>
      </c>
    </row>
    <row r="89" spans="1:12" ht="15">
      <c r="A89" s="114" t="s">
        <v>1772</v>
      </c>
      <c r="B89" s="114" t="s">
        <v>1752</v>
      </c>
      <c r="C89" s="114">
        <v>9</v>
      </c>
      <c r="D89" s="116">
        <v>0.0016666144317105697</v>
      </c>
      <c r="E89" s="116">
        <v>1.7862188721316767</v>
      </c>
      <c r="F89" s="114" t="s">
        <v>2559</v>
      </c>
      <c r="G89" s="114" t="b">
        <v>0</v>
      </c>
      <c r="H89" s="114" t="b">
        <v>0</v>
      </c>
      <c r="I89" s="114" t="b">
        <v>0</v>
      </c>
      <c r="J89" s="114" t="b">
        <v>0</v>
      </c>
      <c r="K89" s="114" t="b">
        <v>0</v>
      </c>
      <c r="L89" s="114" t="b">
        <v>0</v>
      </c>
    </row>
    <row r="90" spans="1:12" ht="15">
      <c r="A90" s="114" t="s">
        <v>1752</v>
      </c>
      <c r="B90" s="114" t="s">
        <v>1772</v>
      </c>
      <c r="C90" s="114">
        <v>9</v>
      </c>
      <c r="D90" s="116">
        <v>0.0016666144317105697</v>
      </c>
      <c r="E90" s="116">
        <v>1.7862188721316767</v>
      </c>
      <c r="F90" s="114" t="s">
        <v>2559</v>
      </c>
      <c r="G90" s="114" t="b">
        <v>0</v>
      </c>
      <c r="H90" s="114" t="b">
        <v>0</v>
      </c>
      <c r="I90" s="114" t="b">
        <v>0</v>
      </c>
      <c r="J90" s="114" t="b">
        <v>0</v>
      </c>
      <c r="K90" s="114" t="b">
        <v>0</v>
      </c>
      <c r="L90" s="114" t="b">
        <v>0</v>
      </c>
    </row>
    <row r="91" spans="1:12" ht="15">
      <c r="A91" s="114" t="s">
        <v>1849</v>
      </c>
      <c r="B91" s="114" t="s">
        <v>1739</v>
      </c>
      <c r="C91" s="114">
        <v>8</v>
      </c>
      <c r="D91" s="116">
        <v>0.0016592152210865093</v>
      </c>
      <c r="E91" s="116">
        <v>1.0629357259345442</v>
      </c>
      <c r="F91" s="114" t="s">
        <v>2559</v>
      </c>
      <c r="G91" s="114" t="b">
        <v>0</v>
      </c>
      <c r="H91" s="114" t="b">
        <v>0</v>
      </c>
      <c r="I91" s="114" t="b">
        <v>0</v>
      </c>
      <c r="J91" s="114" t="b">
        <v>0</v>
      </c>
      <c r="K91" s="114" t="b">
        <v>0</v>
      </c>
      <c r="L91" s="114" t="b">
        <v>0</v>
      </c>
    </row>
    <row r="92" spans="1:12" ht="15">
      <c r="A92" s="114" t="s">
        <v>1823</v>
      </c>
      <c r="B92" s="114" t="s">
        <v>1740</v>
      </c>
      <c r="C92" s="114">
        <v>8</v>
      </c>
      <c r="D92" s="116">
        <v>0.0015330781826127082</v>
      </c>
      <c r="E92" s="116">
        <v>1.1087660327726927</v>
      </c>
      <c r="F92" s="114" t="s">
        <v>2559</v>
      </c>
      <c r="G92" s="114" t="b">
        <v>0</v>
      </c>
      <c r="H92" s="114" t="b">
        <v>0</v>
      </c>
      <c r="I92" s="114" t="b">
        <v>0</v>
      </c>
      <c r="J92" s="114" t="b">
        <v>0</v>
      </c>
      <c r="K92" s="114" t="b">
        <v>0</v>
      </c>
      <c r="L92" s="114" t="b">
        <v>0</v>
      </c>
    </row>
    <row r="93" spans="1:12" ht="15">
      <c r="A93" s="114" t="s">
        <v>1771</v>
      </c>
      <c r="B93" s="114" t="s">
        <v>1739</v>
      </c>
      <c r="C93" s="114">
        <v>8</v>
      </c>
      <c r="D93" s="116">
        <v>0.0015916263370576215</v>
      </c>
      <c r="E93" s="116">
        <v>0.7241171693811633</v>
      </c>
      <c r="F93" s="114" t="s">
        <v>2559</v>
      </c>
      <c r="G93" s="114" t="b">
        <v>0</v>
      </c>
      <c r="H93" s="114" t="b">
        <v>1</v>
      </c>
      <c r="I93" s="114" t="b">
        <v>0</v>
      </c>
      <c r="J93" s="114" t="b">
        <v>0</v>
      </c>
      <c r="K93" s="114" t="b">
        <v>0</v>
      </c>
      <c r="L93" s="114" t="b">
        <v>0</v>
      </c>
    </row>
    <row r="94" spans="1:12" ht="15">
      <c r="A94" s="114" t="s">
        <v>1740</v>
      </c>
      <c r="B94" s="114" t="s">
        <v>1770</v>
      </c>
      <c r="C94" s="114">
        <v>8</v>
      </c>
      <c r="D94" s="116">
        <v>0.0018369953917636232</v>
      </c>
      <c r="E94" s="116">
        <v>0.8283340570105253</v>
      </c>
      <c r="F94" s="114" t="s">
        <v>2559</v>
      </c>
      <c r="G94" s="114" t="b">
        <v>0</v>
      </c>
      <c r="H94" s="114" t="b">
        <v>0</v>
      </c>
      <c r="I94" s="114" t="b">
        <v>0</v>
      </c>
      <c r="J94" s="114" t="b">
        <v>0</v>
      </c>
      <c r="K94" s="114" t="b">
        <v>0</v>
      </c>
      <c r="L94" s="114" t="b">
        <v>0</v>
      </c>
    </row>
    <row r="95" spans="1:12" ht="15">
      <c r="A95" s="114" t="s">
        <v>1740</v>
      </c>
      <c r="B95" s="114" t="s">
        <v>1744</v>
      </c>
      <c r="C95" s="114">
        <v>8</v>
      </c>
      <c r="D95" s="116">
        <v>0.0015330781826127082</v>
      </c>
      <c r="E95" s="116">
        <v>0.2092407263837825</v>
      </c>
      <c r="F95" s="114" t="s">
        <v>2559</v>
      </c>
      <c r="G95" s="114" t="b">
        <v>0</v>
      </c>
      <c r="H95" s="114" t="b">
        <v>0</v>
      </c>
      <c r="I95" s="114" t="b">
        <v>0</v>
      </c>
      <c r="J95" s="114" t="b">
        <v>0</v>
      </c>
      <c r="K95" s="114" t="b">
        <v>0</v>
      </c>
      <c r="L95" s="114" t="b">
        <v>0</v>
      </c>
    </row>
    <row r="96" spans="1:12" ht="15">
      <c r="A96" s="114" t="s">
        <v>1802</v>
      </c>
      <c r="B96" s="114" t="s">
        <v>1892</v>
      </c>
      <c r="C96" s="114">
        <v>8</v>
      </c>
      <c r="D96" s="116">
        <v>0.0015330781826127082</v>
      </c>
      <c r="E96" s="116">
        <v>2.60268401851402</v>
      </c>
      <c r="F96" s="114" t="s">
        <v>2559</v>
      </c>
      <c r="G96" s="114" t="b">
        <v>0</v>
      </c>
      <c r="H96" s="114" t="b">
        <v>0</v>
      </c>
      <c r="I96" s="114" t="b">
        <v>0</v>
      </c>
      <c r="J96" s="114" t="b">
        <v>0</v>
      </c>
      <c r="K96" s="114" t="b">
        <v>0</v>
      </c>
      <c r="L96" s="114" t="b">
        <v>0</v>
      </c>
    </row>
    <row r="97" spans="1:12" ht="15">
      <c r="A97" s="114" t="s">
        <v>1743</v>
      </c>
      <c r="B97" s="114" t="s">
        <v>1740</v>
      </c>
      <c r="C97" s="114">
        <v>8</v>
      </c>
      <c r="D97" s="116">
        <v>0.0015330781826127082</v>
      </c>
      <c r="E97" s="116">
        <v>-0.1294731330318329</v>
      </c>
      <c r="F97" s="114" t="s">
        <v>2559</v>
      </c>
      <c r="G97" s="114" t="b">
        <v>0</v>
      </c>
      <c r="H97" s="114" t="b">
        <v>0</v>
      </c>
      <c r="I97" s="114" t="b">
        <v>0</v>
      </c>
      <c r="J97" s="114" t="b">
        <v>0</v>
      </c>
      <c r="K97" s="114" t="b">
        <v>0</v>
      </c>
      <c r="L97" s="114" t="b">
        <v>0</v>
      </c>
    </row>
    <row r="98" spans="1:12" ht="15">
      <c r="A98" s="114" t="s">
        <v>1740</v>
      </c>
      <c r="B98" s="114" t="s">
        <v>1857</v>
      </c>
      <c r="C98" s="114">
        <v>8</v>
      </c>
      <c r="D98" s="116">
        <v>0.0015330781826127082</v>
      </c>
      <c r="E98" s="116">
        <v>1.184881380524338</v>
      </c>
      <c r="F98" s="114" t="s">
        <v>2559</v>
      </c>
      <c r="G98" s="114" t="b">
        <v>0</v>
      </c>
      <c r="H98" s="114" t="b">
        <v>0</v>
      </c>
      <c r="I98" s="114" t="b">
        <v>0</v>
      </c>
      <c r="J98" s="114" t="b">
        <v>0</v>
      </c>
      <c r="K98" s="114" t="b">
        <v>0</v>
      </c>
      <c r="L98" s="114" t="b">
        <v>0</v>
      </c>
    </row>
    <row r="99" spans="1:12" ht="15">
      <c r="A99" s="114" t="s">
        <v>1858</v>
      </c>
      <c r="B99" s="114" t="s">
        <v>1790</v>
      </c>
      <c r="C99" s="114">
        <v>8</v>
      </c>
      <c r="D99" s="116">
        <v>0.0015330781826127082</v>
      </c>
      <c r="E99" s="116">
        <v>2.444952768509413</v>
      </c>
      <c r="F99" s="114" t="s">
        <v>2559</v>
      </c>
      <c r="G99" s="114" t="b">
        <v>0</v>
      </c>
      <c r="H99" s="114" t="b">
        <v>0</v>
      </c>
      <c r="I99" s="114" t="b">
        <v>0</v>
      </c>
      <c r="J99" s="114" t="b">
        <v>0</v>
      </c>
      <c r="K99" s="114" t="b">
        <v>0</v>
      </c>
      <c r="L99" s="114" t="b">
        <v>0</v>
      </c>
    </row>
    <row r="100" spans="1:12" ht="15">
      <c r="A100" s="114" t="s">
        <v>1790</v>
      </c>
      <c r="B100" s="114" t="s">
        <v>1921</v>
      </c>
      <c r="C100" s="114">
        <v>8</v>
      </c>
      <c r="D100" s="116">
        <v>0.0015330781826127082</v>
      </c>
      <c r="E100" s="116">
        <v>2.583255466675694</v>
      </c>
      <c r="F100" s="114" t="s">
        <v>2559</v>
      </c>
      <c r="G100" s="114" t="b">
        <v>0</v>
      </c>
      <c r="H100" s="114" t="b">
        <v>0</v>
      </c>
      <c r="I100" s="114" t="b">
        <v>0</v>
      </c>
      <c r="J100" s="114" t="b">
        <v>0</v>
      </c>
      <c r="K100" s="114" t="b">
        <v>0</v>
      </c>
      <c r="L100" s="114" t="b">
        <v>0</v>
      </c>
    </row>
    <row r="101" spans="1:12" ht="15">
      <c r="A101" s="114" t="s">
        <v>1921</v>
      </c>
      <c r="B101" s="114" t="s">
        <v>1840</v>
      </c>
      <c r="C101" s="114">
        <v>8</v>
      </c>
      <c r="D101" s="116">
        <v>0.0015330781826127082</v>
      </c>
      <c r="E101" s="116">
        <v>2.8051042162920505</v>
      </c>
      <c r="F101" s="114" t="s">
        <v>2559</v>
      </c>
      <c r="G101" s="114" t="b">
        <v>0</v>
      </c>
      <c r="H101" s="114" t="b">
        <v>0</v>
      </c>
      <c r="I101" s="114" t="b">
        <v>0</v>
      </c>
      <c r="J101" s="114" t="b">
        <v>0</v>
      </c>
      <c r="K101" s="114" t="b">
        <v>0</v>
      </c>
      <c r="L101" s="114" t="b">
        <v>0</v>
      </c>
    </row>
    <row r="102" spans="1:12" ht="15">
      <c r="A102" s="114" t="s">
        <v>1758</v>
      </c>
      <c r="B102" s="114" t="s">
        <v>1828</v>
      </c>
      <c r="C102" s="114">
        <v>8</v>
      </c>
      <c r="D102" s="116">
        <v>0.0018369953917636232</v>
      </c>
      <c r="E102" s="116">
        <v>2.168282118704876</v>
      </c>
      <c r="F102" s="114" t="s">
        <v>2559</v>
      </c>
      <c r="G102" s="114" t="b">
        <v>0</v>
      </c>
      <c r="H102" s="114" t="b">
        <v>0</v>
      </c>
      <c r="I102" s="114" t="b">
        <v>0</v>
      </c>
      <c r="J102" s="114" t="b">
        <v>0</v>
      </c>
      <c r="K102" s="114" t="b">
        <v>0</v>
      </c>
      <c r="L102" s="114" t="b">
        <v>0</v>
      </c>
    </row>
    <row r="103" spans="1:12" ht="15">
      <c r="A103" s="114" t="s">
        <v>1922</v>
      </c>
      <c r="B103" s="114" t="s">
        <v>1808</v>
      </c>
      <c r="C103" s="114">
        <v>8</v>
      </c>
      <c r="D103" s="116">
        <v>0.0015330781826127082</v>
      </c>
      <c r="E103" s="116">
        <v>2.6801654796837506</v>
      </c>
      <c r="F103" s="114" t="s">
        <v>2559</v>
      </c>
      <c r="G103" s="114" t="b">
        <v>0</v>
      </c>
      <c r="H103" s="114" t="b">
        <v>0</v>
      </c>
      <c r="I103" s="114" t="b">
        <v>0</v>
      </c>
      <c r="J103" s="114" t="b">
        <v>0</v>
      </c>
      <c r="K103" s="114" t="b">
        <v>0</v>
      </c>
      <c r="L103" s="114" t="b">
        <v>0</v>
      </c>
    </row>
    <row r="104" spans="1:12" ht="15">
      <c r="A104" s="114" t="s">
        <v>1808</v>
      </c>
      <c r="B104" s="114" t="s">
        <v>1740</v>
      </c>
      <c r="C104" s="114">
        <v>8</v>
      </c>
      <c r="D104" s="116">
        <v>0.0015330781826127082</v>
      </c>
      <c r="E104" s="116">
        <v>1.0185894024236046</v>
      </c>
      <c r="F104" s="114" t="s">
        <v>2559</v>
      </c>
      <c r="G104" s="114" t="b">
        <v>0</v>
      </c>
      <c r="H104" s="114" t="b">
        <v>0</v>
      </c>
      <c r="I104" s="114" t="b">
        <v>0</v>
      </c>
      <c r="J104" s="114" t="b">
        <v>0</v>
      </c>
      <c r="K104" s="114" t="b">
        <v>0</v>
      </c>
      <c r="L104" s="114" t="b">
        <v>0</v>
      </c>
    </row>
    <row r="105" spans="1:12" ht="15">
      <c r="A105" s="114" t="s">
        <v>1740</v>
      </c>
      <c r="B105" s="114" t="s">
        <v>1900</v>
      </c>
      <c r="C105" s="114">
        <v>8</v>
      </c>
      <c r="D105" s="116">
        <v>0.0015330781826127082</v>
      </c>
      <c r="E105" s="116">
        <v>1.272031556243238</v>
      </c>
      <c r="F105" s="114" t="s">
        <v>2559</v>
      </c>
      <c r="G105" s="114" t="b">
        <v>0</v>
      </c>
      <c r="H105" s="114" t="b">
        <v>0</v>
      </c>
      <c r="I105" s="114" t="b">
        <v>0</v>
      </c>
      <c r="J105" s="114" t="b">
        <v>0</v>
      </c>
      <c r="K105" s="114" t="b">
        <v>0</v>
      </c>
      <c r="L105" s="114" t="b">
        <v>0</v>
      </c>
    </row>
    <row r="106" spans="1:12" ht="15">
      <c r="A106" s="114" t="s">
        <v>1900</v>
      </c>
      <c r="B106" s="114" t="s">
        <v>1766</v>
      </c>
      <c r="C106" s="114">
        <v>8</v>
      </c>
      <c r="D106" s="116">
        <v>0.0015330781826127082</v>
      </c>
      <c r="E106" s="116">
        <v>2.4351929312202563</v>
      </c>
      <c r="F106" s="114" t="s">
        <v>2559</v>
      </c>
      <c r="G106" s="114" t="b">
        <v>0</v>
      </c>
      <c r="H106" s="114" t="b">
        <v>0</v>
      </c>
      <c r="I106" s="114" t="b">
        <v>0</v>
      </c>
      <c r="J106" s="114" t="b">
        <v>0</v>
      </c>
      <c r="K106" s="114" t="b">
        <v>1</v>
      </c>
      <c r="L106" s="114" t="b">
        <v>0</v>
      </c>
    </row>
    <row r="107" spans="1:12" ht="15">
      <c r="A107" s="114" t="s">
        <v>1740</v>
      </c>
      <c r="B107" s="114" t="s">
        <v>1809</v>
      </c>
      <c r="C107" s="114">
        <v>8</v>
      </c>
      <c r="D107" s="116">
        <v>0.0015330781826127082</v>
      </c>
      <c r="E107" s="116">
        <v>1.022154083026638</v>
      </c>
      <c r="F107" s="114" t="s">
        <v>2559</v>
      </c>
      <c r="G107" s="114" t="b">
        <v>0</v>
      </c>
      <c r="H107" s="114" t="b">
        <v>0</v>
      </c>
      <c r="I107" s="114" t="b">
        <v>0</v>
      </c>
      <c r="J107" s="114" t="b">
        <v>0</v>
      </c>
      <c r="K107" s="114" t="b">
        <v>0</v>
      </c>
      <c r="L107" s="114" t="b">
        <v>0</v>
      </c>
    </row>
    <row r="108" spans="1:12" ht="15">
      <c r="A108" s="114" t="s">
        <v>1809</v>
      </c>
      <c r="B108" s="114" t="s">
        <v>1809</v>
      </c>
      <c r="C108" s="114">
        <v>8</v>
      </c>
      <c r="D108" s="116">
        <v>0.0015330781826127082</v>
      </c>
      <c r="E108" s="116">
        <v>2.3791354840197694</v>
      </c>
      <c r="F108" s="114" t="s">
        <v>2559</v>
      </c>
      <c r="G108" s="114" t="b">
        <v>0</v>
      </c>
      <c r="H108" s="114" t="b">
        <v>0</v>
      </c>
      <c r="I108" s="114" t="b">
        <v>0</v>
      </c>
      <c r="J108" s="114" t="b">
        <v>0</v>
      </c>
      <c r="K108" s="114" t="b">
        <v>0</v>
      </c>
      <c r="L108" s="114" t="b">
        <v>0</v>
      </c>
    </row>
    <row r="109" spans="1:12" ht="15">
      <c r="A109" s="114" t="s">
        <v>1809</v>
      </c>
      <c r="B109" s="114" t="s">
        <v>1740</v>
      </c>
      <c r="C109" s="114">
        <v>8</v>
      </c>
      <c r="D109" s="116">
        <v>0.0015330781826127082</v>
      </c>
      <c r="E109" s="116">
        <v>1.0185894024236046</v>
      </c>
      <c r="F109" s="114" t="s">
        <v>2559</v>
      </c>
      <c r="G109" s="114" t="b">
        <v>0</v>
      </c>
      <c r="H109" s="114" t="b">
        <v>0</v>
      </c>
      <c r="I109" s="114" t="b">
        <v>0</v>
      </c>
      <c r="J109" s="114" t="b">
        <v>0</v>
      </c>
      <c r="K109" s="114" t="b">
        <v>0</v>
      </c>
      <c r="L109" s="114" t="b">
        <v>0</v>
      </c>
    </row>
    <row r="110" spans="1:12" ht="15">
      <c r="A110" s="114" t="s">
        <v>1776</v>
      </c>
      <c r="B110" s="114" t="s">
        <v>1897</v>
      </c>
      <c r="C110" s="114">
        <v>8</v>
      </c>
      <c r="D110" s="116">
        <v>0.0015330781826127082</v>
      </c>
      <c r="E110" s="116">
        <v>2.471405103874701</v>
      </c>
      <c r="F110" s="114" t="s">
        <v>2559</v>
      </c>
      <c r="G110" s="114" t="b">
        <v>0</v>
      </c>
      <c r="H110" s="114" t="b">
        <v>0</v>
      </c>
      <c r="I110" s="114" t="b">
        <v>0</v>
      </c>
      <c r="J110" s="114" t="b">
        <v>0</v>
      </c>
      <c r="K110" s="114" t="b">
        <v>0</v>
      </c>
      <c r="L110" s="114" t="b">
        <v>0</v>
      </c>
    </row>
    <row r="111" spans="1:12" ht="15">
      <c r="A111" s="114" t="s">
        <v>1740</v>
      </c>
      <c r="B111" s="114" t="s">
        <v>1923</v>
      </c>
      <c r="C111" s="114">
        <v>8</v>
      </c>
      <c r="D111" s="116">
        <v>0.0015330781826127082</v>
      </c>
      <c r="E111" s="116">
        <v>1.3231840786906193</v>
      </c>
      <c r="F111" s="114" t="s">
        <v>2559</v>
      </c>
      <c r="G111" s="114" t="b">
        <v>0</v>
      </c>
      <c r="H111" s="114" t="b">
        <v>0</v>
      </c>
      <c r="I111" s="114" t="b">
        <v>0</v>
      </c>
      <c r="J111" s="114" t="b">
        <v>0</v>
      </c>
      <c r="K111" s="114" t="b">
        <v>0</v>
      </c>
      <c r="L111" s="114" t="b">
        <v>0</v>
      </c>
    </row>
    <row r="112" spans="1:12" ht="15">
      <c r="A112" s="114" t="s">
        <v>1923</v>
      </c>
      <c r="B112" s="114" t="s">
        <v>1830</v>
      </c>
      <c r="C112" s="114">
        <v>8</v>
      </c>
      <c r="D112" s="116">
        <v>0.0015330781826127082</v>
      </c>
      <c r="E112" s="116">
        <v>2.8051042162920505</v>
      </c>
      <c r="F112" s="114" t="s">
        <v>2559</v>
      </c>
      <c r="G112" s="114" t="b">
        <v>0</v>
      </c>
      <c r="H112" s="114" t="b">
        <v>0</v>
      </c>
      <c r="I112" s="114" t="b">
        <v>0</v>
      </c>
      <c r="J112" s="114" t="b">
        <v>0</v>
      </c>
      <c r="K112" s="114" t="b">
        <v>0</v>
      </c>
      <c r="L112" s="114" t="b">
        <v>0</v>
      </c>
    </row>
    <row r="113" spans="1:12" ht="15">
      <c r="A113" s="114" t="s">
        <v>1775</v>
      </c>
      <c r="B113" s="114" t="s">
        <v>1745</v>
      </c>
      <c r="C113" s="114">
        <v>8</v>
      </c>
      <c r="D113" s="116">
        <v>0.001739155903618185</v>
      </c>
      <c r="E113" s="116">
        <v>1.4714051038747011</v>
      </c>
      <c r="F113" s="114" t="s">
        <v>2559</v>
      </c>
      <c r="G113" s="114" t="b">
        <v>0</v>
      </c>
      <c r="H113" s="114" t="b">
        <v>0</v>
      </c>
      <c r="I113" s="114" t="b">
        <v>0</v>
      </c>
      <c r="J113" s="114" t="b">
        <v>0</v>
      </c>
      <c r="K113" s="114" t="b">
        <v>0</v>
      </c>
      <c r="L113" s="114" t="b">
        <v>0</v>
      </c>
    </row>
    <row r="114" spans="1:12" ht="15">
      <c r="A114" s="114" t="s">
        <v>1753</v>
      </c>
      <c r="B114" s="114" t="s">
        <v>1856</v>
      </c>
      <c r="C114" s="114">
        <v>8</v>
      </c>
      <c r="D114" s="116">
        <v>0.0018369953917636232</v>
      </c>
      <c r="E114" s="116">
        <v>2.1025300876872066</v>
      </c>
      <c r="F114" s="114" t="s">
        <v>2559</v>
      </c>
      <c r="G114" s="114" t="b">
        <v>0</v>
      </c>
      <c r="H114" s="114" t="b">
        <v>0</v>
      </c>
      <c r="I114" s="114" t="b">
        <v>0</v>
      </c>
      <c r="J114" s="114" t="b">
        <v>0</v>
      </c>
      <c r="K114" s="114" t="b">
        <v>0</v>
      </c>
      <c r="L114" s="114" t="b">
        <v>0</v>
      </c>
    </row>
    <row r="115" spans="1:12" ht="15">
      <c r="A115" s="114" t="s">
        <v>1740</v>
      </c>
      <c r="B115" s="114" t="s">
        <v>1841</v>
      </c>
      <c r="C115" s="114">
        <v>8</v>
      </c>
      <c r="D115" s="116">
        <v>0.0018369953917636232</v>
      </c>
      <c r="E115" s="116">
        <v>1.1470928196349381</v>
      </c>
      <c r="F115" s="114" t="s">
        <v>2559</v>
      </c>
      <c r="G115" s="114" t="b">
        <v>0</v>
      </c>
      <c r="H115" s="114" t="b">
        <v>0</v>
      </c>
      <c r="I115" s="114" t="b">
        <v>0</v>
      </c>
      <c r="J115" s="114" t="b">
        <v>0</v>
      </c>
      <c r="K115" s="114" t="b">
        <v>0</v>
      </c>
      <c r="L115" s="114" t="b">
        <v>0</v>
      </c>
    </row>
    <row r="116" spans="1:12" ht="15">
      <c r="A116" s="114" t="s">
        <v>1775</v>
      </c>
      <c r="B116" s="114" t="s">
        <v>1761</v>
      </c>
      <c r="C116" s="114">
        <v>8</v>
      </c>
      <c r="D116" s="116">
        <v>0.0015330781826127082</v>
      </c>
      <c r="E116" s="116">
        <v>1.9485263585943637</v>
      </c>
      <c r="F116" s="114" t="s">
        <v>2559</v>
      </c>
      <c r="G116" s="114" t="b">
        <v>0</v>
      </c>
      <c r="H116" s="114" t="b">
        <v>0</v>
      </c>
      <c r="I116" s="114" t="b">
        <v>0</v>
      </c>
      <c r="J116" s="114" t="b">
        <v>0</v>
      </c>
      <c r="K116" s="114" t="b">
        <v>0</v>
      </c>
      <c r="L116" s="114" t="b">
        <v>0</v>
      </c>
    </row>
    <row r="117" spans="1:12" ht="15">
      <c r="A117" s="114" t="s">
        <v>1925</v>
      </c>
      <c r="B117" s="114" t="s">
        <v>1926</v>
      </c>
      <c r="C117" s="114">
        <v>8</v>
      </c>
      <c r="D117" s="116">
        <v>0.002140912600914538</v>
      </c>
      <c r="E117" s="116">
        <v>2.9811954753477314</v>
      </c>
      <c r="F117" s="114" t="s">
        <v>2559</v>
      </c>
      <c r="G117" s="114" t="b">
        <v>0</v>
      </c>
      <c r="H117" s="114" t="b">
        <v>0</v>
      </c>
      <c r="I117" s="114" t="b">
        <v>0</v>
      </c>
      <c r="J117" s="114" t="b">
        <v>0</v>
      </c>
      <c r="K117" s="114" t="b">
        <v>0</v>
      </c>
      <c r="L117" s="114" t="b">
        <v>0</v>
      </c>
    </row>
    <row r="118" spans="1:12" ht="15">
      <c r="A118" s="114" t="s">
        <v>1904</v>
      </c>
      <c r="B118" s="114" t="s">
        <v>1868</v>
      </c>
      <c r="C118" s="114">
        <v>8</v>
      </c>
      <c r="D118" s="116">
        <v>0.002140912600914538</v>
      </c>
      <c r="E118" s="116">
        <v>2.833132939892294</v>
      </c>
      <c r="F118" s="114" t="s">
        <v>2559</v>
      </c>
      <c r="G118" s="114" t="b">
        <v>0</v>
      </c>
      <c r="H118" s="114" t="b">
        <v>0</v>
      </c>
      <c r="I118" s="114" t="b">
        <v>0</v>
      </c>
      <c r="J118" s="114" t="b">
        <v>0</v>
      </c>
      <c r="K118" s="114" t="b">
        <v>0</v>
      </c>
      <c r="L118" s="114" t="b">
        <v>0</v>
      </c>
    </row>
    <row r="119" spans="1:12" ht="15">
      <c r="A119" s="114" t="s">
        <v>1833</v>
      </c>
      <c r="B119" s="114" t="s">
        <v>1862</v>
      </c>
      <c r="C119" s="114">
        <v>8</v>
      </c>
      <c r="D119" s="116">
        <v>0.0015330781826127082</v>
      </c>
      <c r="E119" s="116">
        <v>2.673432097024782</v>
      </c>
      <c r="F119" s="114" t="s">
        <v>2559</v>
      </c>
      <c r="G119" s="114" t="b">
        <v>0</v>
      </c>
      <c r="H119" s="114" t="b">
        <v>0</v>
      </c>
      <c r="I119" s="114" t="b">
        <v>0</v>
      </c>
      <c r="J119" s="114" t="b">
        <v>0</v>
      </c>
      <c r="K119" s="114" t="b">
        <v>0</v>
      </c>
      <c r="L119" s="114" t="b">
        <v>0</v>
      </c>
    </row>
    <row r="120" spans="1:12" ht="15">
      <c r="A120" s="114" t="s">
        <v>1906</v>
      </c>
      <c r="B120" s="114" t="s">
        <v>1930</v>
      </c>
      <c r="C120" s="114">
        <v>8</v>
      </c>
      <c r="D120" s="116">
        <v>0.0015330781826127082</v>
      </c>
      <c r="E120" s="116">
        <v>2.9300429529003504</v>
      </c>
      <c r="F120" s="114" t="s">
        <v>2559</v>
      </c>
      <c r="G120" s="114" t="b">
        <v>0</v>
      </c>
      <c r="H120" s="114" t="b">
        <v>0</v>
      </c>
      <c r="I120" s="114" t="b">
        <v>0</v>
      </c>
      <c r="J120" s="114" t="b">
        <v>0</v>
      </c>
      <c r="K120" s="114" t="b">
        <v>0</v>
      </c>
      <c r="L120" s="114" t="b">
        <v>0</v>
      </c>
    </row>
    <row r="121" spans="1:12" ht="15">
      <c r="A121" s="114" t="s">
        <v>1930</v>
      </c>
      <c r="B121" s="114" t="s">
        <v>1763</v>
      </c>
      <c r="C121" s="114">
        <v>8</v>
      </c>
      <c r="D121" s="116">
        <v>0.0015330781826127082</v>
      </c>
      <c r="E121" s="116">
        <v>2.421887464440719</v>
      </c>
      <c r="F121" s="114" t="s">
        <v>2559</v>
      </c>
      <c r="G121" s="114" t="b">
        <v>0</v>
      </c>
      <c r="H121" s="114" t="b">
        <v>0</v>
      </c>
      <c r="I121" s="114" t="b">
        <v>0</v>
      </c>
      <c r="J121" s="114" t="b">
        <v>0</v>
      </c>
      <c r="K121" s="114" t="b">
        <v>0</v>
      </c>
      <c r="L121" s="114" t="b">
        <v>0</v>
      </c>
    </row>
    <row r="122" spans="1:12" ht="15">
      <c r="A122" s="114" t="s">
        <v>1772</v>
      </c>
      <c r="B122" s="114" t="s">
        <v>1931</v>
      </c>
      <c r="C122" s="114">
        <v>8</v>
      </c>
      <c r="D122" s="116">
        <v>0.0015330781826127082</v>
      </c>
      <c r="E122" s="116">
        <v>2.5040742206280693</v>
      </c>
      <c r="F122" s="114" t="s">
        <v>2559</v>
      </c>
      <c r="G122" s="114" t="b">
        <v>0</v>
      </c>
      <c r="H122" s="114" t="b">
        <v>0</v>
      </c>
      <c r="I122" s="114" t="b">
        <v>0</v>
      </c>
      <c r="J122" s="114" t="b">
        <v>0</v>
      </c>
      <c r="K122" s="114" t="b">
        <v>0</v>
      </c>
      <c r="L122" s="114" t="b">
        <v>0</v>
      </c>
    </row>
    <row r="123" spans="1:12" ht="15">
      <c r="A123" s="114" t="s">
        <v>1931</v>
      </c>
      <c r="B123" s="114" t="s">
        <v>1932</v>
      </c>
      <c r="C123" s="114">
        <v>8</v>
      </c>
      <c r="D123" s="116">
        <v>0.0015330781826127082</v>
      </c>
      <c r="E123" s="116">
        <v>2.9811954753477314</v>
      </c>
      <c r="F123" s="114" t="s">
        <v>2559</v>
      </c>
      <c r="G123" s="114" t="b">
        <v>0</v>
      </c>
      <c r="H123" s="114" t="b">
        <v>0</v>
      </c>
      <c r="I123" s="114" t="b">
        <v>0</v>
      </c>
      <c r="J123" s="114" t="b">
        <v>0</v>
      </c>
      <c r="K123" s="114" t="b">
        <v>0</v>
      </c>
      <c r="L123" s="114" t="b">
        <v>0</v>
      </c>
    </row>
    <row r="124" spans="1:12" ht="15">
      <c r="A124" s="114" t="s">
        <v>1757</v>
      </c>
      <c r="B124" s="114" t="s">
        <v>1757</v>
      </c>
      <c r="C124" s="114">
        <v>7</v>
      </c>
      <c r="D124" s="116">
        <v>0.0013926730449254187</v>
      </c>
      <c r="E124" s="116">
        <v>1.5698163091203117</v>
      </c>
      <c r="F124" s="114" t="s">
        <v>2559</v>
      </c>
      <c r="G124" s="114" t="b">
        <v>0</v>
      </c>
      <c r="H124" s="114" t="b">
        <v>0</v>
      </c>
      <c r="I124" s="114" t="b">
        <v>0</v>
      </c>
      <c r="J124" s="114" t="b">
        <v>0</v>
      </c>
      <c r="K124" s="114" t="b">
        <v>0</v>
      </c>
      <c r="L124" s="114" t="b">
        <v>0</v>
      </c>
    </row>
    <row r="125" spans="1:12" ht="15">
      <c r="A125" s="114" t="s">
        <v>1749</v>
      </c>
      <c r="B125" s="114" t="s">
        <v>1739</v>
      </c>
      <c r="C125" s="114">
        <v>7</v>
      </c>
      <c r="D125" s="116">
        <v>0.001521761415665912</v>
      </c>
      <c r="E125" s="116">
        <v>0.29814843710888206</v>
      </c>
      <c r="F125" s="114" t="s">
        <v>2559</v>
      </c>
      <c r="G125" s="114" t="b">
        <v>0</v>
      </c>
      <c r="H125" s="114" t="b">
        <v>0</v>
      </c>
      <c r="I125" s="114" t="b">
        <v>0</v>
      </c>
      <c r="J125" s="114" t="b">
        <v>0</v>
      </c>
      <c r="K125" s="114" t="b">
        <v>0</v>
      </c>
      <c r="L125" s="114" t="b">
        <v>0</v>
      </c>
    </row>
    <row r="126" spans="1:12" ht="15">
      <c r="A126" s="114" t="s">
        <v>1777</v>
      </c>
      <c r="B126" s="114" t="s">
        <v>1742</v>
      </c>
      <c r="C126" s="114">
        <v>7</v>
      </c>
      <c r="D126" s="116">
        <v>0.0017177408764577462</v>
      </c>
      <c r="E126" s="116">
        <v>1.0031454555512946</v>
      </c>
      <c r="F126" s="114" t="s">
        <v>2559</v>
      </c>
      <c r="G126" s="114" t="b">
        <v>0</v>
      </c>
      <c r="H126" s="114" t="b">
        <v>0</v>
      </c>
      <c r="I126" s="114" t="b">
        <v>0</v>
      </c>
      <c r="J126" s="114" t="b">
        <v>0</v>
      </c>
      <c r="K126" s="114" t="b">
        <v>0</v>
      </c>
      <c r="L126" s="114" t="b">
        <v>0</v>
      </c>
    </row>
    <row r="127" spans="1:12" ht="15">
      <c r="A127" s="114" t="s">
        <v>1739</v>
      </c>
      <c r="B127" s="114" t="s">
        <v>1811</v>
      </c>
      <c r="C127" s="114">
        <v>7</v>
      </c>
      <c r="D127" s="116">
        <v>0.0013926730449254187</v>
      </c>
      <c r="E127" s="116">
        <v>0.8586870443646821</v>
      </c>
      <c r="F127" s="114" t="s">
        <v>2559</v>
      </c>
      <c r="G127" s="114" t="b">
        <v>0</v>
      </c>
      <c r="H127" s="114" t="b">
        <v>0</v>
      </c>
      <c r="I127" s="114" t="b">
        <v>0</v>
      </c>
      <c r="J127" s="114" t="b">
        <v>0</v>
      </c>
      <c r="K127" s="114" t="b">
        <v>0</v>
      </c>
      <c r="L127" s="114" t="b">
        <v>0</v>
      </c>
    </row>
    <row r="128" spans="1:12" ht="15">
      <c r="A128" s="114" t="s">
        <v>1743</v>
      </c>
      <c r="B128" s="114" t="s">
        <v>1744</v>
      </c>
      <c r="C128" s="114">
        <v>7</v>
      </c>
      <c r="D128" s="116">
        <v>0.0013926730449254187</v>
      </c>
      <c r="E128" s="116">
        <v>0.3601676449437893</v>
      </c>
      <c r="F128" s="114" t="s">
        <v>2559</v>
      </c>
      <c r="G128" s="114" t="b">
        <v>0</v>
      </c>
      <c r="H128" s="114" t="b">
        <v>0</v>
      </c>
      <c r="I128" s="114" t="b">
        <v>0</v>
      </c>
      <c r="J128" s="114" t="b">
        <v>0</v>
      </c>
      <c r="K128" s="114" t="b">
        <v>0</v>
      </c>
      <c r="L128" s="114" t="b">
        <v>0</v>
      </c>
    </row>
    <row r="129" spans="1:12" ht="15">
      <c r="A129" s="114" t="s">
        <v>1739</v>
      </c>
      <c r="B129" s="114" t="s">
        <v>1849</v>
      </c>
      <c r="C129" s="114">
        <v>7</v>
      </c>
      <c r="D129" s="116">
        <v>0.0013926730449254187</v>
      </c>
      <c r="E129" s="116">
        <v>0.9933856182621383</v>
      </c>
      <c r="F129" s="114" t="s">
        <v>2559</v>
      </c>
      <c r="G129" s="114" t="b">
        <v>0</v>
      </c>
      <c r="H129" s="114" t="b">
        <v>0</v>
      </c>
      <c r="I129" s="114" t="b">
        <v>0</v>
      </c>
      <c r="J129" s="114" t="b">
        <v>0</v>
      </c>
      <c r="K129" s="114" t="b">
        <v>0</v>
      </c>
      <c r="L129" s="114" t="b">
        <v>0</v>
      </c>
    </row>
    <row r="130" spans="1:12" ht="15">
      <c r="A130" s="114" t="s">
        <v>1747</v>
      </c>
      <c r="B130" s="114" t="s">
        <v>1913</v>
      </c>
      <c r="C130" s="114">
        <v>7</v>
      </c>
      <c r="D130" s="116">
        <v>0.0014518133184506956</v>
      </c>
      <c r="E130" s="116">
        <v>1.934198912671508</v>
      </c>
      <c r="F130" s="114" t="s">
        <v>2559</v>
      </c>
      <c r="G130" s="114" t="b">
        <v>0</v>
      </c>
      <c r="H130" s="114" t="b">
        <v>0</v>
      </c>
      <c r="I130" s="114" t="b">
        <v>0</v>
      </c>
      <c r="J130" s="114" t="b">
        <v>0</v>
      </c>
      <c r="K130" s="114" t="b">
        <v>0</v>
      </c>
      <c r="L130" s="114" t="b">
        <v>0</v>
      </c>
    </row>
    <row r="131" spans="1:12" ht="15">
      <c r="A131" s="114" t="s">
        <v>1770</v>
      </c>
      <c r="B131" s="114" t="s">
        <v>1740</v>
      </c>
      <c r="C131" s="114">
        <v>7</v>
      </c>
      <c r="D131" s="116">
        <v>0.001521761415665912</v>
      </c>
      <c r="E131" s="116">
        <v>0.7667774294298052</v>
      </c>
      <c r="F131" s="114" t="s">
        <v>2559</v>
      </c>
      <c r="G131" s="114" t="b">
        <v>0</v>
      </c>
      <c r="H131" s="114" t="b">
        <v>0</v>
      </c>
      <c r="I131" s="114" t="b">
        <v>0</v>
      </c>
      <c r="J131" s="114" t="b">
        <v>0</v>
      </c>
      <c r="K131" s="114" t="b">
        <v>0</v>
      </c>
      <c r="L131" s="114" t="b">
        <v>0</v>
      </c>
    </row>
    <row r="132" spans="1:12" ht="15">
      <c r="A132" s="114" t="s">
        <v>1746</v>
      </c>
      <c r="B132" s="114" t="s">
        <v>1751</v>
      </c>
      <c r="C132" s="114">
        <v>7</v>
      </c>
      <c r="D132" s="116">
        <v>0.0013926730449254187</v>
      </c>
      <c r="E132" s="116">
        <v>1.118723339264052</v>
      </c>
      <c r="F132" s="114" t="s">
        <v>2559</v>
      </c>
      <c r="G132" s="114" t="b">
        <v>0</v>
      </c>
      <c r="H132" s="114" t="b">
        <v>1</v>
      </c>
      <c r="I132" s="114" t="b">
        <v>0</v>
      </c>
      <c r="J132" s="114" t="b">
        <v>0</v>
      </c>
      <c r="K132" s="114" t="b">
        <v>1</v>
      </c>
      <c r="L132" s="114" t="b">
        <v>0</v>
      </c>
    </row>
    <row r="133" spans="1:12" ht="15">
      <c r="A133" s="114" t="s">
        <v>1818</v>
      </c>
      <c r="B133" s="114" t="s">
        <v>1739</v>
      </c>
      <c r="C133" s="114">
        <v>7</v>
      </c>
      <c r="D133" s="116">
        <v>0.0013926730449254187</v>
      </c>
      <c r="E133" s="116">
        <v>0.9002084284368445</v>
      </c>
      <c r="F133" s="114" t="s">
        <v>2559</v>
      </c>
      <c r="G133" s="114" t="b">
        <v>0</v>
      </c>
      <c r="H133" s="114" t="b">
        <v>0</v>
      </c>
      <c r="I133" s="114" t="b">
        <v>0</v>
      </c>
      <c r="J133" s="114" t="b">
        <v>0</v>
      </c>
      <c r="K133" s="114" t="b">
        <v>0</v>
      </c>
      <c r="L133" s="114" t="b">
        <v>0</v>
      </c>
    </row>
    <row r="134" spans="1:12" ht="15">
      <c r="A134" s="114" t="s">
        <v>1892</v>
      </c>
      <c r="B134" s="114" t="s">
        <v>1796</v>
      </c>
      <c r="C134" s="114">
        <v>7</v>
      </c>
      <c r="D134" s="116">
        <v>0.0013926730449254187</v>
      </c>
      <c r="E134" s="116">
        <v>2.5710210102586823</v>
      </c>
      <c r="F134" s="114" t="s">
        <v>2559</v>
      </c>
      <c r="G134" s="114" t="b">
        <v>0</v>
      </c>
      <c r="H134" s="114" t="b">
        <v>0</v>
      </c>
      <c r="I134" s="114" t="b">
        <v>0</v>
      </c>
      <c r="J134" s="114" t="b">
        <v>0</v>
      </c>
      <c r="K134" s="114" t="b">
        <v>0</v>
      </c>
      <c r="L134" s="114" t="b">
        <v>0</v>
      </c>
    </row>
    <row r="135" spans="1:12" ht="15">
      <c r="A135" s="114" t="s">
        <v>1893</v>
      </c>
      <c r="B135" s="114" t="s">
        <v>1753</v>
      </c>
      <c r="C135" s="114">
        <v>7</v>
      </c>
      <c r="D135" s="116">
        <v>0.0013926730449254187</v>
      </c>
      <c r="E135" s="116">
        <v>2.25662705303672</v>
      </c>
      <c r="F135" s="114" t="s">
        <v>2559</v>
      </c>
      <c r="G135" s="114" t="b">
        <v>0</v>
      </c>
      <c r="H135" s="114" t="b">
        <v>0</v>
      </c>
      <c r="I135" s="114" t="b">
        <v>0</v>
      </c>
      <c r="J135" s="114" t="b">
        <v>0</v>
      </c>
      <c r="K135" s="114" t="b">
        <v>0</v>
      </c>
      <c r="L135" s="114" t="b">
        <v>0</v>
      </c>
    </row>
    <row r="136" spans="1:12" ht="15">
      <c r="A136" s="114" t="s">
        <v>1753</v>
      </c>
      <c r="B136" s="114" t="s">
        <v>1852</v>
      </c>
      <c r="C136" s="114">
        <v>7</v>
      </c>
      <c r="D136" s="116">
        <v>0.0014518133184506956</v>
      </c>
      <c r="E136" s="116">
        <v>2.04453814070952</v>
      </c>
      <c r="F136" s="114" t="s">
        <v>2559</v>
      </c>
      <c r="G136" s="114" t="b">
        <v>0</v>
      </c>
      <c r="H136" s="114" t="b">
        <v>0</v>
      </c>
      <c r="I136" s="114" t="b">
        <v>0</v>
      </c>
      <c r="J136" s="114" t="b">
        <v>0</v>
      </c>
      <c r="K136" s="114" t="b">
        <v>0</v>
      </c>
      <c r="L136" s="114" t="b">
        <v>0</v>
      </c>
    </row>
    <row r="137" spans="1:12" ht="15">
      <c r="A137" s="114" t="s">
        <v>1802</v>
      </c>
      <c r="B137" s="114" t="s">
        <v>1796</v>
      </c>
      <c r="C137" s="114">
        <v>7</v>
      </c>
      <c r="D137" s="116">
        <v>0.0014518133184506956</v>
      </c>
      <c r="E137" s="116">
        <v>2.243662075872352</v>
      </c>
      <c r="F137" s="114" t="s">
        <v>2559</v>
      </c>
      <c r="G137" s="114" t="b">
        <v>0</v>
      </c>
      <c r="H137" s="114" t="b">
        <v>0</v>
      </c>
      <c r="I137" s="114" t="b">
        <v>0</v>
      </c>
      <c r="J137" s="114" t="b">
        <v>0</v>
      </c>
      <c r="K137" s="114" t="b">
        <v>0</v>
      </c>
      <c r="L137" s="114" t="b">
        <v>0</v>
      </c>
    </row>
    <row r="138" spans="1:12" ht="15">
      <c r="A138" s="114" t="s">
        <v>1777</v>
      </c>
      <c r="B138" s="114" t="s">
        <v>1748</v>
      </c>
      <c r="C138" s="114">
        <v>7</v>
      </c>
      <c r="D138" s="116">
        <v>0.0013926730449254187</v>
      </c>
      <c r="E138" s="116">
        <v>1.4893337302412846</v>
      </c>
      <c r="F138" s="114" t="s">
        <v>2559</v>
      </c>
      <c r="G138" s="114" t="b">
        <v>0</v>
      </c>
      <c r="H138" s="114" t="b">
        <v>0</v>
      </c>
      <c r="I138" s="114" t="b">
        <v>0</v>
      </c>
      <c r="J138" s="114" t="b">
        <v>0</v>
      </c>
      <c r="K138" s="114" t="b">
        <v>0</v>
      </c>
      <c r="L138" s="114" t="b">
        <v>0</v>
      </c>
    </row>
    <row r="139" spans="1:12" ht="15">
      <c r="A139" s="114" t="s">
        <v>1743</v>
      </c>
      <c r="B139" s="114" t="s">
        <v>1850</v>
      </c>
      <c r="C139" s="114">
        <v>7</v>
      </c>
      <c r="D139" s="116">
        <v>0.0013926730449254187</v>
      </c>
      <c r="E139" s="116">
        <v>1.3358082990843445</v>
      </c>
      <c r="F139" s="114" t="s">
        <v>2559</v>
      </c>
      <c r="G139" s="114" t="b">
        <v>0</v>
      </c>
      <c r="H139" s="114" t="b">
        <v>0</v>
      </c>
      <c r="I139" s="114" t="b">
        <v>0</v>
      </c>
      <c r="J139" s="114" t="b">
        <v>0</v>
      </c>
      <c r="K139" s="114" t="b">
        <v>0</v>
      </c>
      <c r="L139" s="114" t="b">
        <v>0</v>
      </c>
    </row>
    <row r="140" spans="1:12" ht="15">
      <c r="A140" s="114" t="s">
        <v>1807</v>
      </c>
      <c r="B140" s="114" t="s">
        <v>1799</v>
      </c>
      <c r="C140" s="114">
        <v>7</v>
      </c>
      <c r="D140" s="116">
        <v>0.001521761415665912</v>
      </c>
      <c r="E140" s="116">
        <v>2.2948145983197334</v>
      </c>
      <c r="F140" s="114" t="s">
        <v>2559</v>
      </c>
      <c r="G140" s="114" t="b">
        <v>0</v>
      </c>
      <c r="H140" s="114" t="b">
        <v>0</v>
      </c>
      <c r="I140" s="114" t="b">
        <v>0</v>
      </c>
      <c r="J140" s="114" t="b">
        <v>0</v>
      </c>
      <c r="K140" s="114" t="b">
        <v>0</v>
      </c>
      <c r="L140" s="114" t="b">
        <v>0</v>
      </c>
    </row>
    <row r="141" spans="1:12" ht="15">
      <c r="A141" s="114" t="s">
        <v>1753</v>
      </c>
      <c r="B141" s="114" t="s">
        <v>1839</v>
      </c>
      <c r="C141" s="114">
        <v>7</v>
      </c>
      <c r="D141" s="116">
        <v>0.0017177408764577462</v>
      </c>
      <c r="E141" s="116">
        <v>2.00674957982012</v>
      </c>
      <c r="F141" s="114" t="s">
        <v>2559</v>
      </c>
      <c r="G141" s="114" t="b">
        <v>0</v>
      </c>
      <c r="H141" s="114" t="b">
        <v>0</v>
      </c>
      <c r="I141" s="114" t="b">
        <v>0</v>
      </c>
      <c r="J141" s="114" t="b">
        <v>0</v>
      </c>
      <c r="K141" s="114" t="b">
        <v>0</v>
      </c>
      <c r="L141" s="114" t="b">
        <v>0</v>
      </c>
    </row>
    <row r="142" spans="1:12" ht="15">
      <c r="A142" s="114" t="s">
        <v>1887</v>
      </c>
      <c r="B142" s="114" t="s">
        <v>1740</v>
      </c>
      <c r="C142" s="114">
        <v>7</v>
      </c>
      <c r="D142" s="116">
        <v>0.0013926730449254187</v>
      </c>
      <c r="E142" s="116">
        <v>1.2104749286625178</v>
      </c>
      <c r="F142" s="114" t="s">
        <v>2559</v>
      </c>
      <c r="G142" s="114" t="b">
        <v>0</v>
      </c>
      <c r="H142" s="114" t="b">
        <v>0</v>
      </c>
      <c r="I142" s="114" t="b">
        <v>0</v>
      </c>
      <c r="J142" s="114" t="b">
        <v>0</v>
      </c>
      <c r="K142" s="114" t="b">
        <v>0</v>
      </c>
      <c r="L142" s="114" t="b">
        <v>0</v>
      </c>
    </row>
    <row r="143" spans="1:12" ht="15">
      <c r="A143" s="114" t="s">
        <v>1740</v>
      </c>
      <c r="B143" s="114" t="s">
        <v>1757</v>
      </c>
      <c r="C143" s="114">
        <v>7</v>
      </c>
      <c r="D143" s="116">
        <v>0.0013926730449254187</v>
      </c>
      <c r="E143" s="116">
        <v>0.5884985220880659</v>
      </c>
      <c r="F143" s="114" t="s">
        <v>2559</v>
      </c>
      <c r="G143" s="114" t="b">
        <v>0</v>
      </c>
      <c r="H143" s="114" t="b">
        <v>0</v>
      </c>
      <c r="I143" s="114" t="b">
        <v>0</v>
      </c>
      <c r="J143" s="114" t="b">
        <v>0</v>
      </c>
      <c r="K143" s="114" t="b">
        <v>0</v>
      </c>
      <c r="L143" s="114" t="b">
        <v>0</v>
      </c>
    </row>
    <row r="144" spans="1:12" ht="15">
      <c r="A144" s="114" t="s">
        <v>1740</v>
      </c>
      <c r="B144" s="114" t="s">
        <v>1864</v>
      </c>
      <c r="C144" s="114">
        <v>7</v>
      </c>
      <c r="D144" s="116">
        <v>0.0013926730449254187</v>
      </c>
      <c r="E144" s="116">
        <v>1.2140396092655512</v>
      </c>
      <c r="F144" s="114" t="s">
        <v>2559</v>
      </c>
      <c r="G144" s="114" t="b">
        <v>0</v>
      </c>
      <c r="H144" s="114" t="b">
        <v>0</v>
      </c>
      <c r="I144" s="114" t="b">
        <v>0</v>
      </c>
      <c r="J144" s="114" t="b">
        <v>0</v>
      </c>
      <c r="K144" s="114" t="b">
        <v>0</v>
      </c>
      <c r="L144" s="114" t="b">
        <v>0</v>
      </c>
    </row>
    <row r="145" spans="1:12" ht="15">
      <c r="A145" s="114" t="s">
        <v>1740</v>
      </c>
      <c r="B145" s="114" t="s">
        <v>1819</v>
      </c>
      <c r="C145" s="114">
        <v>7</v>
      </c>
      <c r="D145" s="116">
        <v>0.001521761415665912</v>
      </c>
      <c r="E145" s="116">
        <v>1.022154083026638</v>
      </c>
      <c r="F145" s="114" t="s">
        <v>2559</v>
      </c>
      <c r="G145" s="114" t="b">
        <v>0</v>
      </c>
      <c r="H145" s="114" t="b">
        <v>0</v>
      </c>
      <c r="I145" s="114" t="b">
        <v>0</v>
      </c>
      <c r="J145" s="114" t="b">
        <v>0</v>
      </c>
      <c r="K145" s="114" t="b">
        <v>0</v>
      </c>
      <c r="L145" s="114" t="b">
        <v>0</v>
      </c>
    </row>
    <row r="146" spans="1:12" ht="15">
      <c r="A146" s="114" t="s">
        <v>1908</v>
      </c>
      <c r="B146" s="114" t="s">
        <v>1953</v>
      </c>
      <c r="C146" s="114">
        <v>7</v>
      </c>
      <c r="D146" s="116">
        <v>0.0021392260838072716</v>
      </c>
      <c r="E146" s="116">
        <v>2.9300429529003504</v>
      </c>
      <c r="F146" s="114" t="s">
        <v>2559</v>
      </c>
      <c r="G146" s="114" t="b">
        <v>0</v>
      </c>
      <c r="H146" s="114" t="b">
        <v>0</v>
      </c>
      <c r="I146" s="114" t="b">
        <v>0</v>
      </c>
      <c r="J146" s="114" t="b">
        <v>0</v>
      </c>
      <c r="K146" s="114" t="b">
        <v>0</v>
      </c>
      <c r="L146" s="114" t="b">
        <v>0</v>
      </c>
    </row>
    <row r="147" spans="1:12" ht="15">
      <c r="A147" s="114" t="s">
        <v>1748</v>
      </c>
      <c r="B147" s="114" t="s">
        <v>1751</v>
      </c>
      <c r="C147" s="114">
        <v>6</v>
      </c>
      <c r="D147" s="116">
        <v>0.0012444114158148818</v>
      </c>
      <c r="E147" s="116">
        <v>1.1061342119560318</v>
      </c>
      <c r="F147" s="114" t="s">
        <v>2559</v>
      </c>
      <c r="G147" s="114" t="b">
        <v>0</v>
      </c>
      <c r="H147" s="114" t="b">
        <v>0</v>
      </c>
      <c r="I147" s="114" t="b">
        <v>0</v>
      </c>
      <c r="J147" s="114" t="b">
        <v>0</v>
      </c>
      <c r="K147" s="114" t="b">
        <v>1</v>
      </c>
      <c r="L147" s="114" t="b">
        <v>0</v>
      </c>
    </row>
    <row r="148" spans="1:12" ht="15">
      <c r="A148" s="114" t="s">
        <v>1846</v>
      </c>
      <c r="B148" s="114" t="s">
        <v>1740</v>
      </c>
      <c r="C148" s="114">
        <v>6</v>
      </c>
      <c r="D148" s="116">
        <v>0.001472349322678068</v>
      </c>
      <c r="E148" s="116">
        <v>1.0563779633130046</v>
      </c>
      <c r="F148" s="114" t="s">
        <v>2559</v>
      </c>
      <c r="G148" s="114" t="b">
        <v>0</v>
      </c>
      <c r="H148" s="114" t="b">
        <v>0</v>
      </c>
      <c r="I148" s="114" t="b">
        <v>0</v>
      </c>
      <c r="J148" s="114" t="b">
        <v>0</v>
      </c>
      <c r="K148" s="114" t="b">
        <v>0</v>
      </c>
      <c r="L148" s="114" t="b">
        <v>0</v>
      </c>
    </row>
    <row r="149" spans="1:12" ht="15">
      <c r="A149" s="114" t="s">
        <v>1779</v>
      </c>
      <c r="B149" s="114" t="s">
        <v>1755</v>
      </c>
      <c r="C149" s="114">
        <v>6</v>
      </c>
      <c r="D149" s="116">
        <v>0.0012444114158148818</v>
      </c>
      <c r="E149" s="116">
        <v>1.7402304352843025</v>
      </c>
      <c r="F149" s="114" t="s">
        <v>2559</v>
      </c>
      <c r="G149" s="114" t="b">
        <v>0</v>
      </c>
      <c r="H149" s="114" t="b">
        <v>0</v>
      </c>
      <c r="I149" s="114" t="b">
        <v>0</v>
      </c>
      <c r="J149" s="114" t="b">
        <v>0</v>
      </c>
      <c r="K149" s="114" t="b">
        <v>0</v>
      </c>
      <c r="L149" s="114" t="b">
        <v>0</v>
      </c>
    </row>
    <row r="150" spans="1:12" ht="15">
      <c r="A150" s="114" t="s">
        <v>1834</v>
      </c>
      <c r="B150" s="114" t="s">
        <v>1773</v>
      </c>
      <c r="C150" s="114">
        <v>6</v>
      </c>
      <c r="D150" s="116">
        <v>0.0012444114158148818</v>
      </c>
      <c r="E150" s="116">
        <v>2.259316191547501</v>
      </c>
      <c r="F150" s="114" t="s">
        <v>2559</v>
      </c>
      <c r="G150" s="114" t="b">
        <v>0</v>
      </c>
      <c r="H150" s="114" t="b">
        <v>0</v>
      </c>
      <c r="I150" s="114" t="b">
        <v>0</v>
      </c>
      <c r="J150" s="114" t="b">
        <v>0</v>
      </c>
      <c r="K150" s="114" t="b">
        <v>0</v>
      </c>
      <c r="L150" s="114" t="b">
        <v>0</v>
      </c>
    </row>
    <row r="151" spans="1:12" ht="15">
      <c r="A151" s="114" t="s">
        <v>1767</v>
      </c>
      <c r="B151" s="114" t="s">
        <v>1739</v>
      </c>
      <c r="C151" s="114">
        <v>6</v>
      </c>
      <c r="D151" s="116">
        <v>0.0013777465438227173</v>
      </c>
      <c r="E151" s="116">
        <v>0.5814496658124317</v>
      </c>
      <c r="F151" s="114" t="s">
        <v>2559</v>
      </c>
      <c r="G151" s="114" t="b">
        <v>0</v>
      </c>
      <c r="H151" s="114" t="b">
        <v>0</v>
      </c>
      <c r="I151" s="114" t="b">
        <v>0</v>
      </c>
      <c r="J151" s="114" t="b">
        <v>0</v>
      </c>
      <c r="K151" s="114" t="b">
        <v>0</v>
      </c>
      <c r="L151" s="114" t="b">
        <v>0</v>
      </c>
    </row>
    <row r="152" spans="1:12" ht="15">
      <c r="A152" s="114" t="s">
        <v>1744</v>
      </c>
      <c r="B152" s="114" t="s">
        <v>1750</v>
      </c>
      <c r="C152" s="114">
        <v>6</v>
      </c>
      <c r="D152" s="116">
        <v>0.0012444114158148818</v>
      </c>
      <c r="E152" s="116">
        <v>0.9300429529003504</v>
      </c>
      <c r="F152" s="114" t="s">
        <v>2559</v>
      </c>
      <c r="G152" s="114" t="b">
        <v>0</v>
      </c>
      <c r="H152" s="114" t="b">
        <v>0</v>
      </c>
      <c r="I152" s="114" t="b">
        <v>0</v>
      </c>
      <c r="J152" s="114" t="b">
        <v>0</v>
      </c>
      <c r="K152" s="114" t="b">
        <v>0</v>
      </c>
      <c r="L152" s="114" t="b">
        <v>0</v>
      </c>
    </row>
    <row r="153" spans="1:12" ht="15">
      <c r="A153" s="114" t="s">
        <v>1753</v>
      </c>
      <c r="B153" s="114" t="s">
        <v>1802</v>
      </c>
      <c r="C153" s="114">
        <v>6</v>
      </c>
      <c r="D153" s="116">
        <v>0.0012444114158148818</v>
      </c>
      <c r="E153" s="116">
        <v>1.7885351148588575</v>
      </c>
      <c r="F153" s="114" t="s">
        <v>2559</v>
      </c>
      <c r="G153" s="114" t="b">
        <v>0</v>
      </c>
      <c r="H153" s="114" t="b">
        <v>0</v>
      </c>
      <c r="I153" s="114" t="b">
        <v>0</v>
      </c>
      <c r="J153" s="114" t="b">
        <v>0</v>
      </c>
      <c r="K153" s="114" t="b">
        <v>0</v>
      </c>
      <c r="L153" s="114" t="b">
        <v>0</v>
      </c>
    </row>
    <row r="154" spans="1:12" ht="15">
      <c r="A154" s="114" t="s">
        <v>1852</v>
      </c>
      <c r="B154" s="114" t="s">
        <v>1802</v>
      </c>
      <c r="C154" s="114">
        <v>6</v>
      </c>
      <c r="D154" s="116">
        <v>0.0012444114158148818</v>
      </c>
      <c r="E154" s="116">
        <v>2.39059510618682</v>
      </c>
      <c r="F154" s="114" t="s">
        <v>2559</v>
      </c>
      <c r="G154" s="114" t="b">
        <v>0</v>
      </c>
      <c r="H154" s="114" t="b">
        <v>0</v>
      </c>
      <c r="I154" s="114" t="b">
        <v>0</v>
      </c>
      <c r="J154" s="114" t="b">
        <v>0</v>
      </c>
      <c r="K154" s="114" t="b">
        <v>0</v>
      </c>
      <c r="L154" s="114" t="b">
        <v>0</v>
      </c>
    </row>
    <row r="155" spans="1:12" ht="15">
      <c r="A155" s="114" t="s">
        <v>1796</v>
      </c>
      <c r="B155" s="114" t="s">
        <v>1774</v>
      </c>
      <c r="C155" s="114">
        <v>6</v>
      </c>
      <c r="D155" s="116">
        <v>0.0012444114158148818</v>
      </c>
      <c r="E155" s="116">
        <v>2.04543637160242</v>
      </c>
      <c r="F155" s="114" t="s">
        <v>2559</v>
      </c>
      <c r="G155" s="114" t="b">
        <v>0</v>
      </c>
      <c r="H155" s="114" t="b">
        <v>0</v>
      </c>
      <c r="I155" s="114" t="b">
        <v>0</v>
      </c>
      <c r="J155" s="114" t="b">
        <v>0</v>
      </c>
      <c r="K155" s="114" t="b">
        <v>1</v>
      </c>
      <c r="L155" s="114" t="b">
        <v>0</v>
      </c>
    </row>
    <row r="156" spans="1:12" ht="15">
      <c r="A156" s="114" t="s">
        <v>1749</v>
      </c>
      <c r="B156" s="114" t="s">
        <v>1740</v>
      </c>
      <c r="C156" s="114">
        <v>6</v>
      </c>
      <c r="D156" s="116">
        <v>0.0012444114158148818</v>
      </c>
      <c r="E156" s="116">
        <v>0.3495826214650291</v>
      </c>
      <c r="F156" s="114" t="s">
        <v>2559</v>
      </c>
      <c r="G156" s="114" t="b">
        <v>0</v>
      </c>
      <c r="H156" s="114" t="b">
        <v>0</v>
      </c>
      <c r="I156" s="114" t="b">
        <v>0</v>
      </c>
      <c r="J156" s="114" t="b">
        <v>0</v>
      </c>
      <c r="K156" s="114" t="b">
        <v>0</v>
      </c>
      <c r="L156" s="114" t="b">
        <v>0</v>
      </c>
    </row>
    <row r="157" spans="1:12" ht="15">
      <c r="A157" s="114" t="s">
        <v>1740</v>
      </c>
      <c r="B157" s="114" t="s">
        <v>1749</v>
      </c>
      <c r="C157" s="114">
        <v>6</v>
      </c>
      <c r="D157" s="116">
        <v>0.0013043669277136387</v>
      </c>
      <c r="E157" s="116">
        <v>0.3531473020680625</v>
      </c>
      <c r="F157" s="114" t="s">
        <v>2559</v>
      </c>
      <c r="G157" s="114" t="b">
        <v>0</v>
      </c>
      <c r="H157" s="114" t="b">
        <v>0</v>
      </c>
      <c r="I157" s="114" t="b">
        <v>0</v>
      </c>
      <c r="J157" s="114" t="b">
        <v>0</v>
      </c>
      <c r="K157" s="114" t="b">
        <v>0</v>
      </c>
      <c r="L157" s="114" t="b">
        <v>0</v>
      </c>
    </row>
    <row r="158" spans="1:12" ht="15">
      <c r="A158" s="114" t="s">
        <v>1739</v>
      </c>
      <c r="B158" s="114" t="s">
        <v>1747</v>
      </c>
      <c r="C158" s="114">
        <v>6</v>
      </c>
      <c r="D158" s="116">
        <v>0.0013777465438227173</v>
      </c>
      <c r="E158" s="116">
        <v>0.06474152679780656</v>
      </c>
      <c r="F158" s="114" t="s">
        <v>2559</v>
      </c>
      <c r="G158" s="114" t="b">
        <v>0</v>
      </c>
      <c r="H158" s="114" t="b">
        <v>0</v>
      </c>
      <c r="I158" s="114" t="b">
        <v>0</v>
      </c>
      <c r="J158" s="114" t="b">
        <v>0</v>
      </c>
      <c r="K158" s="114" t="b">
        <v>0</v>
      </c>
      <c r="L158" s="114" t="b">
        <v>0</v>
      </c>
    </row>
    <row r="159" spans="1:12" ht="15">
      <c r="A159" s="114" t="s">
        <v>1816</v>
      </c>
      <c r="B159" s="114" t="s">
        <v>1739</v>
      </c>
      <c r="C159" s="114">
        <v>6</v>
      </c>
      <c r="D159" s="116">
        <v>0.0012444114158148818</v>
      </c>
      <c r="E159" s="116">
        <v>0.8332616388062313</v>
      </c>
      <c r="F159" s="114" t="s">
        <v>2559</v>
      </c>
      <c r="G159" s="114" t="b">
        <v>0</v>
      </c>
      <c r="H159" s="114" t="b">
        <v>0</v>
      </c>
      <c r="I159" s="114" t="b">
        <v>0</v>
      </c>
      <c r="J159" s="114" t="b">
        <v>0</v>
      </c>
      <c r="K159" s="114" t="b">
        <v>0</v>
      </c>
      <c r="L159" s="114" t="b">
        <v>0</v>
      </c>
    </row>
    <row r="160" spans="1:12" ht="15">
      <c r="A160" s="114" t="s">
        <v>1760</v>
      </c>
      <c r="B160" s="114" t="s">
        <v>1760</v>
      </c>
      <c r="C160" s="114">
        <v>6</v>
      </c>
      <c r="D160" s="116">
        <v>0.0013777465438227173</v>
      </c>
      <c r="E160" s="116">
        <v>1.7086770209900901</v>
      </c>
      <c r="F160" s="114" t="s">
        <v>2559</v>
      </c>
      <c r="G160" s="114" t="b">
        <v>0</v>
      </c>
      <c r="H160" s="114" t="b">
        <v>0</v>
      </c>
      <c r="I160" s="114" t="b">
        <v>0</v>
      </c>
      <c r="J160" s="114" t="b">
        <v>0</v>
      </c>
      <c r="K160" s="114" t="b">
        <v>0</v>
      </c>
      <c r="L160" s="114" t="b">
        <v>0</v>
      </c>
    </row>
    <row r="161" spans="1:12" ht="15">
      <c r="A161" s="114" t="s">
        <v>1853</v>
      </c>
      <c r="B161" s="114" t="s">
        <v>1829</v>
      </c>
      <c r="C161" s="114">
        <v>6</v>
      </c>
      <c r="D161" s="116">
        <v>0.0016056844506859035</v>
      </c>
      <c r="E161" s="116">
        <v>2.507100675258257</v>
      </c>
      <c r="F161" s="114" t="s">
        <v>2559</v>
      </c>
      <c r="G161" s="114" t="b">
        <v>0</v>
      </c>
      <c r="H161" s="114" t="b">
        <v>0</v>
      </c>
      <c r="I161" s="114" t="b">
        <v>0</v>
      </c>
      <c r="J161" s="114" t="b">
        <v>0</v>
      </c>
      <c r="K161" s="114" t="b">
        <v>0</v>
      </c>
      <c r="L161" s="114" t="b">
        <v>0</v>
      </c>
    </row>
    <row r="162" spans="1:12" ht="15">
      <c r="A162" s="114" t="s">
        <v>1792</v>
      </c>
      <c r="B162" s="114" t="s">
        <v>1757</v>
      </c>
      <c r="C162" s="114">
        <v>6</v>
      </c>
      <c r="D162" s="116">
        <v>0.0012444114158148818</v>
      </c>
      <c r="E162" s="116">
        <v>1.8522041947282348</v>
      </c>
      <c r="F162" s="114" t="s">
        <v>2559</v>
      </c>
      <c r="G162" s="114" t="b">
        <v>0</v>
      </c>
      <c r="H162" s="114" t="b">
        <v>0</v>
      </c>
      <c r="I162" s="114" t="b">
        <v>0</v>
      </c>
      <c r="J162" s="114" t="b">
        <v>0</v>
      </c>
      <c r="K162" s="114" t="b">
        <v>0</v>
      </c>
      <c r="L162" s="114" t="b">
        <v>0</v>
      </c>
    </row>
    <row r="163" spans="1:12" ht="15">
      <c r="A163" s="114" t="s">
        <v>1792</v>
      </c>
      <c r="B163" s="114" t="s">
        <v>1740</v>
      </c>
      <c r="C163" s="114">
        <v>6</v>
      </c>
      <c r="D163" s="116">
        <v>0.0012444114158148818</v>
      </c>
      <c r="E163" s="116">
        <v>0.8673217270929555</v>
      </c>
      <c r="F163" s="114" t="s">
        <v>2559</v>
      </c>
      <c r="G163" s="114" t="b">
        <v>0</v>
      </c>
      <c r="H163" s="114" t="b">
        <v>0</v>
      </c>
      <c r="I163" s="114" t="b">
        <v>0</v>
      </c>
      <c r="J163" s="114" t="b">
        <v>0</v>
      </c>
      <c r="K163" s="114" t="b">
        <v>0</v>
      </c>
      <c r="L163" s="114" t="b">
        <v>0</v>
      </c>
    </row>
    <row r="164" spans="1:12" ht="15">
      <c r="A164" s="114" t="s">
        <v>1740</v>
      </c>
      <c r="B164" s="114" t="s">
        <v>1776</v>
      </c>
      <c r="C164" s="114">
        <v>6</v>
      </c>
      <c r="D164" s="116">
        <v>0.0012444114158148818</v>
      </c>
      <c r="E164" s="116">
        <v>0.7396074930566701</v>
      </c>
      <c r="F164" s="114" t="s">
        <v>2559</v>
      </c>
      <c r="G164" s="114" t="b">
        <v>0</v>
      </c>
      <c r="H164" s="114" t="b">
        <v>0</v>
      </c>
      <c r="I164" s="114" t="b">
        <v>0</v>
      </c>
      <c r="J164" s="114" t="b">
        <v>0</v>
      </c>
      <c r="K164" s="114" t="b">
        <v>0</v>
      </c>
      <c r="L164" s="114" t="b">
        <v>0</v>
      </c>
    </row>
    <row r="165" spans="1:12" ht="15">
      <c r="A165" s="114" t="s">
        <v>1776</v>
      </c>
      <c r="B165" s="114" t="s">
        <v>1776</v>
      </c>
      <c r="C165" s="114">
        <v>6</v>
      </c>
      <c r="D165" s="116">
        <v>0.0012444114158148818</v>
      </c>
      <c r="E165" s="116">
        <v>1.9389810406881332</v>
      </c>
      <c r="F165" s="114" t="s">
        <v>2559</v>
      </c>
      <c r="G165" s="114" t="b">
        <v>0</v>
      </c>
      <c r="H165" s="114" t="b">
        <v>0</v>
      </c>
      <c r="I165" s="114" t="b">
        <v>0</v>
      </c>
      <c r="J165" s="114" t="b">
        <v>0</v>
      </c>
      <c r="K165" s="114" t="b">
        <v>0</v>
      </c>
      <c r="L165" s="114" t="b">
        <v>0</v>
      </c>
    </row>
    <row r="166" spans="1:12" ht="15">
      <c r="A166" s="114" t="s">
        <v>1783</v>
      </c>
      <c r="B166" s="114" t="s">
        <v>1741</v>
      </c>
      <c r="C166" s="114">
        <v>6</v>
      </c>
      <c r="D166" s="116">
        <v>0.0016056844506859035</v>
      </c>
      <c r="E166" s="116">
        <v>0.9186134911195686</v>
      </c>
      <c r="F166" s="114" t="s">
        <v>2559</v>
      </c>
      <c r="G166" s="114" t="b">
        <v>0</v>
      </c>
      <c r="H166" s="114" t="b">
        <v>0</v>
      </c>
      <c r="I166" s="114" t="b">
        <v>0</v>
      </c>
      <c r="J166" s="114" t="b">
        <v>0</v>
      </c>
      <c r="K166" s="114" t="b">
        <v>0</v>
      </c>
      <c r="L166" s="114" t="b">
        <v>0</v>
      </c>
    </row>
    <row r="167" spans="1:12" ht="15">
      <c r="A167" s="114" t="s">
        <v>1807</v>
      </c>
      <c r="B167" s="114" t="s">
        <v>1742</v>
      </c>
      <c r="C167" s="114">
        <v>6</v>
      </c>
      <c r="D167" s="116">
        <v>0.0013777465438227173</v>
      </c>
      <c r="E167" s="116">
        <v>1.0745013640869627</v>
      </c>
      <c r="F167" s="114" t="s">
        <v>2559</v>
      </c>
      <c r="G167" s="114" t="b">
        <v>0</v>
      </c>
      <c r="H167" s="114" t="b">
        <v>0</v>
      </c>
      <c r="I167" s="114" t="b">
        <v>0</v>
      </c>
      <c r="J167" s="114" t="b">
        <v>0</v>
      </c>
      <c r="K167" s="114" t="b">
        <v>0</v>
      </c>
      <c r="L167" s="114" t="b">
        <v>0</v>
      </c>
    </row>
    <row r="168" spans="1:12" ht="15">
      <c r="A168" s="114" t="s">
        <v>1972</v>
      </c>
      <c r="B168" s="114" t="s">
        <v>1946</v>
      </c>
      <c r="C168" s="114">
        <v>6</v>
      </c>
      <c r="D168" s="116">
        <v>0.0013777465438227173</v>
      </c>
      <c r="E168" s="116">
        <v>3.0391874223254183</v>
      </c>
      <c r="F168" s="114" t="s">
        <v>2559</v>
      </c>
      <c r="G168" s="114" t="b">
        <v>0</v>
      </c>
      <c r="H168" s="114" t="b">
        <v>0</v>
      </c>
      <c r="I168" s="114" t="b">
        <v>0</v>
      </c>
      <c r="J168" s="114" t="b">
        <v>0</v>
      </c>
      <c r="K168" s="114" t="b">
        <v>0</v>
      </c>
      <c r="L168" s="114" t="b">
        <v>0</v>
      </c>
    </row>
    <row r="169" spans="1:12" ht="15">
      <c r="A169" s="114" t="s">
        <v>1840</v>
      </c>
      <c r="B169" s="114" t="s">
        <v>1808</v>
      </c>
      <c r="C169" s="114">
        <v>6</v>
      </c>
      <c r="D169" s="116">
        <v>0.0012444114158148818</v>
      </c>
      <c r="E169" s="116">
        <v>2.3791354840197694</v>
      </c>
      <c r="F169" s="114" t="s">
        <v>2559</v>
      </c>
      <c r="G169" s="114" t="b">
        <v>0</v>
      </c>
      <c r="H169" s="114" t="b">
        <v>0</v>
      </c>
      <c r="I169" s="114" t="b">
        <v>0</v>
      </c>
      <c r="J169" s="114" t="b">
        <v>0</v>
      </c>
      <c r="K169" s="114" t="b">
        <v>0</v>
      </c>
      <c r="L169" s="114" t="b">
        <v>0</v>
      </c>
    </row>
    <row r="170" spans="1:12" ht="15">
      <c r="A170" s="114" t="s">
        <v>1842</v>
      </c>
      <c r="B170" s="114" t="s">
        <v>1759</v>
      </c>
      <c r="C170" s="114">
        <v>6</v>
      </c>
      <c r="D170" s="116">
        <v>0.0016056844506859035</v>
      </c>
      <c r="E170" s="116">
        <v>2.1853154580036565</v>
      </c>
      <c r="F170" s="114" t="s">
        <v>2559</v>
      </c>
      <c r="G170" s="114" t="b">
        <v>0</v>
      </c>
      <c r="H170" s="114" t="b">
        <v>0</v>
      </c>
      <c r="I170" s="114" t="b">
        <v>0</v>
      </c>
      <c r="J170" s="114" t="b">
        <v>0</v>
      </c>
      <c r="K170" s="114" t="b">
        <v>0</v>
      </c>
      <c r="L170" s="114" t="b">
        <v>0</v>
      </c>
    </row>
    <row r="171" spans="1:12" ht="15">
      <c r="A171" s="114" t="s">
        <v>1797</v>
      </c>
      <c r="B171" s="114" t="s">
        <v>1740</v>
      </c>
      <c r="C171" s="114">
        <v>6</v>
      </c>
      <c r="D171" s="116">
        <v>0.0012444114158148818</v>
      </c>
      <c r="E171" s="116">
        <v>0.8424981433679235</v>
      </c>
      <c r="F171" s="114" t="s">
        <v>2559</v>
      </c>
      <c r="G171" s="114" t="b">
        <v>0</v>
      </c>
      <c r="H171" s="114" t="b">
        <v>0</v>
      </c>
      <c r="I171" s="114" t="b">
        <v>0</v>
      </c>
      <c r="J171" s="114" t="b">
        <v>0</v>
      </c>
      <c r="K171" s="114" t="b">
        <v>0</v>
      </c>
      <c r="L171" s="114" t="b">
        <v>0</v>
      </c>
    </row>
    <row r="172" spans="1:12" ht="15">
      <c r="A172" s="114" t="s">
        <v>1949</v>
      </c>
      <c r="B172" s="114" t="s">
        <v>1975</v>
      </c>
      <c r="C172" s="114">
        <v>6</v>
      </c>
      <c r="D172" s="116">
        <v>0.0018336223575490898</v>
      </c>
      <c r="E172" s="116">
        <v>3.0391874223254183</v>
      </c>
      <c r="F172" s="114" t="s">
        <v>2559</v>
      </c>
      <c r="G172" s="114" t="b">
        <v>0</v>
      </c>
      <c r="H172" s="114" t="b">
        <v>0</v>
      </c>
      <c r="I172" s="114" t="b">
        <v>0</v>
      </c>
      <c r="J172" s="114" t="b">
        <v>0</v>
      </c>
      <c r="K172" s="114" t="b">
        <v>0</v>
      </c>
      <c r="L172" s="114" t="b">
        <v>0</v>
      </c>
    </row>
    <row r="173" spans="1:12" ht="15">
      <c r="A173" s="114" t="s">
        <v>1907</v>
      </c>
      <c r="B173" s="114" t="s">
        <v>1908</v>
      </c>
      <c r="C173" s="114">
        <v>6</v>
      </c>
      <c r="D173" s="116">
        <v>0.0018336223575490898</v>
      </c>
      <c r="E173" s="116">
        <v>2.753951693844669</v>
      </c>
      <c r="F173" s="114" t="s">
        <v>2559</v>
      </c>
      <c r="G173" s="114" t="b">
        <v>0</v>
      </c>
      <c r="H173" s="114" t="b">
        <v>0</v>
      </c>
      <c r="I173" s="114" t="b">
        <v>0</v>
      </c>
      <c r="J173" s="114" t="b">
        <v>0</v>
      </c>
      <c r="K173" s="114" t="b">
        <v>0</v>
      </c>
      <c r="L173" s="114" t="b">
        <v>0</v>
      </c>
    </row>
    <row r="174" spans="1:12" ht="15">
      <c r="A174" s="114" t="s">
        <v>1909</v>
      </c>
      <c r="B174" s="114" t="s">
        <v>1981</v>
      </c>
      <c r="C174" s="114">
        <v>5</v>
      </c>
      <c r="D174" s="116">
        <v>0.0010869724397613656</v>
      </c>
      <c r="E174" s="116">
        <v>2.981195475347732</v>
      </c>
      <c r="F174" s="114" t="s">
        <v>2559</v>
      </c>
      <c r="G174" s="114" t="b">
        <v>0</v>
      </c>
      <c r="H174" s="114" t="b">
        <v>0</v>
      </c>
      <c r="I174" s="114" t="b">
        <v>0</v>
      </c>
      <c r="J174" s="114" t="b">
        <v>0</v>
      </c>
      <c r="K174" s="114" t="b">
        <v>0</v>
      </c>
      <c r="L174" s="114" t="b">
        <v>0</v>
      </c>
    </row>
    <row r="175" spans="1:12" ht="15">
      <c r="A175" s="114" t="s">
        <v>1740</v>
      </c>
      <c r="B175" s="114" t="s">
        <v>1742</v>
      </c>
      <c r="C175" s="114">
        <v>5</v>
      </c>
      <c r="D175" s="116">
        <v>0.0010869724397613656</v>
      </c>
      <c r="E175" s="116">
        <v>-0.36166128295379324</v>
      </c>
      <c r="F175" s="114" t="s">
        <v>2559</v>
      </c>
      <c r="G175" s="114" t="b">
        <v>0</v>
      </c>
      <c r="H175" s="114" t="b">
        <v>0</v>
      </c>
      <c r="I175" s="114" t="b">
        <v>0</v>
      </c>
      <c r="J175" s="114" t="b">
        <v>0</v>
      </c>
      <c r="K175" s="114" t="b">
        <v>0</v>
      </c>
      <c r="L175" s="114" t="b">
        <v>0</v>
      </c>
    </row>
    <row r="176" spans="1:12" ht="15">
      <c r="A176" s="114" t="s">
        <v>1750</v>
      </c>
      <c r="B176" s="114" t="s">
        <v>1741</v>
      </c>
      <c r="C176" s="114">
        <v>5</v>
      </c>
      <c r="D176" s="116">
        <v>0.0010869724397613656</v>
      </c>
      <c r="E176" s="116">
        <v>0.5084390260305193</v>
      </c>
      <c r="F176" s="114" t="s">
        <v>2559</v>
      </c>
      <c r="G176" s="114" t="b">
        <v>0</v>
      </c>
      <c r="H176" s="114" t="b">
        <v>0</v>
      </c>
      <c r="I176" s="114" t="b">
        <v>0</v>
      </c>
      <c r="J176" s="114" t="b">
        <v>0</v>
      </c>
      <c r="K176" s="114" t="b">
        <v>0</v>
      </c>
      <c r="L176" s="114" t="b">
        <v>0</v>
      </c>
    </row>
    <row r="177" spans="1:12" ht="15">
      <c r="A177" s="114" t="s">
        <v>1811</v>
      </c>
      <c r="B177" s="114" t="s">
        <v>1741</v>
      </c>
      <c r="C177" s="114">
        <v>5</v>
      </c>
      <c r="D177" s="116">
        <v>0.0011481221198522645</v>
      </c>
      <c r="E177" s="116">
        <v>1.015523504127625</v>
      </c>
      <c r="F177" s="114" t="s">
        <v>2559</v>
      </c>
      <c r="G177" s="114" t="b">
        <v>0</v>
      </c>
      <c r="H177" s="114" t="b">
        <v>0</v>
      </c>
      <c r="I177" s="114" t="b">
        <v>0</v>
      </c>
      <c r="J177" s="114" t="b">
        <v>0</v>
      </c>
      <c r="K177" s="114" t="b">
        <v>0</v>
      </c>
      <c r="L177" s="114" t="b">
        <v>0</v>
      </c>
    </row>
    <row r="178" spans="1:12" ht="15">
      <c r="A178" s="114" t="s">
        <v>1811</v>
      </c>
      <c r="B178" s="114" t="s">
        <v>1739</v>
      </c>
      <c r="C178" s="114">
        <v>5</v>
      </c>
      <c r="D178" s="116">
        <v>0.0010869724397613656</v>
      </c>
      <c r="E178" s="116">
        <v>0.7540803927586064</v>
      </c>
      <c r="F178" s="114" t="s">
        <v>2559</v>
      </c>
      <c r="G178" s="114" t="b">
        <v>0</v>
      </c>
      <c r="H178" s="114" t="b">
        <v>0</v>
      </c>
      <c r="I178" s="114" t="b">
        <v>0</v>
      </c>
      <c r="J178" s="114" t="b">
        <v>0</v>
      </c>
      <c r="K178" s="114" t="b">
        <v>0</v>
      </c>
      <c r="L178" s="114" t="b">
        <v>0</v>
      </c>
    </row>
    <row r="179" spans="1:12" ht="15">
      <c r="A179" s="114" t="s">
        <v>1817</v>
      </c>
      <c r="B179" s="114" t="s">
        <v>1793</v>
      </c>
      <c r="C179" s="114">
        <v>5</v>
      </c>
      <c r="D179" s="116">
        <v>0.0010869724397613656</v>
      </c>
      <c r="E179" s="116">
        <v>2.206678509619182</v>
      </c>
      <c r="F179" s="114" t="s">
        <v>2559</v>
      </c>
      <c r="G179" s="114" t="b">
        <v>0</v>
      </c>
      <c r="H179" s="114" t="b">
        <v>0</v>
      </c>
      <c r="I179" s="114" t="b">
        <v>0</v>
      </c>
      <c r="J179" s="114" t="b">
        <v>0</v>
      </c>
      <c r="K179" s="114" t="b">
        <v>0</v>
      </c>
      <c r="L179" s="114" t="b">
        <v>0</v>
      </c>
    </row>
    <row r="180" spans="1:12" ht="15">
      <c r="A180" s="114" t="s">
        <v>1749</v>
      </c>
      <c r="B180" s="114" t="s">
        <v>1746</v>
      </c>
      <c r="C180" s="114">
        <v>5</v>
      </c>
      <c r="D180" s="116">
        <v>0.0011481221198522645</v>
      </c>
      <c r="E180" s="116">
        <v>0.9005689884259259</v>
      </c>
      <c r="F180" s="114" t="s">
        <v>2559</v>
      </c>
      <c r="G180" s="114" t="b">
        <v>0</v>
      </c>
      <c r="H180" s="114" t="b">
        <v>0</v>
      </c>
      <c r="I180" s="114" t="b">
        <v>0</v>
      </c>
      <c r="J180" s="114" t="b">
        <v>0</v>
      </c>
      <c r="K180" s="114" t="b">
        <v>1</v>
      </c>
      <c r="L180" s="114" t="b">
        <v>0</v>
      </c>
    </row>
    <row r="181" spans="1:12" ht="15">
      <c r="A181" s="114" t="s">
        <v>1746</v>
      </c>
      <c r="B181" s="114" t="s">
        <v>1748</v>
      </c>
      <c r="C181" s="114">
        <v>5</v>
      </c>
      <c r="D181" s="116">
        <v>0.0010869724397613656</v>
      </c>
      <c r="E181" s="116">
        <v>0.7562094496709599</v>
      </c>
      <c r="F181" s="114" t="s">
        <v>2559</v>
      </c>
      <c r="G181" s="114" t="b">
        <v>0</v>
      </c>
      <c r="H181" s="114" t="b">
        <v>1</v>
      </c>
      <c r="I181" s="114" t="b">
        <v>0</v>
      </c>
      <c r="J181" s="114" t="b">
        <v>0</v>
      </c>
      <c r="K181" s="114" t="b">
        <v>0</v>
      </c>
      <c r="L181" s="114" t="b">
        <v>0</v>
      </c>
    </row>
    <row r="182" spans="1:12" ht="15">
      <c r="A182" s="114" t="s">
        <v>1740</v>
      </c>
      <c r="B182" s="114" t="s">
        <v>1745</v>
      </c>
      <c r="C182" s="114">
        <v>5</v>
      </c>
      <c r="D182" s="116">
        <v>0.0012269577688983901</v>
      </c>
      <c r="E182" s="116">
        <v>0.06791157358731316</v>
      </c>
      <c r="F182" s="114" t="s">
        <v>2559</v>
      </c>
      <c r="G182" s="114" t="b">
        <v>0</v>
      </c>
      <c r="H182" s="114" t="b">
        <v>0</v>
      </c>
      <c r="I182" s="114" t="b">
        <v>0</v>
      </c>
      <c r="J182" s="114" t="b">
        <v>0</v>
      </c>
      <c r="K182" s="114" t="b">
        <v>0</v>
      </c>
      <c r="L182" s="114" t="b">
        <v>0</v>
      </c>
    </row>
    <row r="183" spans="1:12" ht="15">
      <c r="A183" s="114" t="s">
        <v>1789</v>
      </c>
      <c r="B183" s="114" t="s">
        <v>1764</v>
      </c>
      <c r="C183" s="114">
        <v>5</v>
      </c>
      <c r="D183" s="116">
        <v>0.0012269577688983901</v>
      </c>
      <c r="E183" s="116">
        <v>1.8508617068527256</v>
      </c>
      <c r="F183" s="114" t="s">
        <v>2559</v>
      </c>
      <c r="G183" s="114" t="b">
        <v>0</v>
      </c>
      <c r="H183" s="114" t="b">
        <v>0</v>
      </c>
      <c r="I183" s="114" t="b">
        <v>0</v>
      </c>
      <c r="J183" s="114" t="b">
        <v>0</v>
      </c>
      <c r="K183" s="114" t="b">
        <v>0</v>
      </c>
      <c r="L183" s="114" t="b">
        <v>0</v>
      </c>
    </row>
    <row r="184" spans="1:12" ht="15">
      <c r="A184" s="114" t="s">
        <v>1914</v>
      </c>
      <c r="B184" s="114" t="s">
        <v>1988</v>
      </c>
      <c r="C184" s="114">
        <v>5</v>
      </c>
      <c r="D184" s="116">
        <v>0.0013380703755715862</v>
      </c>
      <c r="E184" s="116">
        <v>2.981195475347732</v>
      </c>
      <c r="F184" s="114" t="s">
        <v>2559</v>
      </c>
      <c r="G184" s="114" t="b">
        <v>0</v>
      </c>
      <c r="H184" s="114" t="b">
        <v>0</v>
      </c>
      <c r="I184" s="114" t="b">
        <v>0</v>
      </c>
      <c r="J184" s="114" t="b">
        <v>0</v>
      </c>
      <c r="K184" s="114" t="b">
        <v>0</v>
      </c>
      <c r="L184" s="114" t="b">
        <v>0</v>
      </c>
    </row>
    <row r="185" spans="1:12" ht="15">
      <c r="A185" s="114" t="s">
        <v>1739</v>
      </c>
      <c r="B185" s="114" t="s">
        <v>1795</v>
      </c>
      <c r="C185" s="114">
        <v>5</v>
      </c>
      <c r="D185" s="116">
        <v>0.0011481221198522645</v>
      </c>
      <c r="E185" s="116">
        <v>0.6333777626388193</v>
      </c>
      <c r="F185" s="114" t="s">
        <v>2559</v>
      </c>
      <c r="G185" s="114" t="b">
        <v>0</v>
      </c>
      <c r="H185" s="114" t="b">
        <v>0</v>
      </c>
      <c r="I185" s="114" t="b">
        <v>0</v>
      </c>
      <c r="J185" s="114" t="b">
        <v>0</v>
      </c>
      <c r="K185" s="114" t="b">
        <v>1</v>
      </c>
      <c r="L185" s="114" t="b">
        <v>0</v>
      </c>
    </row>
    <row r="186" spans="1:12" ht="15">
      <c r="A186" s="114" t="s">
        <v>1989</v>
      </c>
      <c r="B186" s="114" t="s">
        <v>1990</v>
      </c>
      <c r="C186" s="114">
        <v>5</v>
      </c>
      <c r="D186" s="116">
        <v>0.0012269577688983901</v>
      </c>
      <c r="E186" s="116">
        <v>3.1853154580036565</v>
      </c>
      <c r="F186" s="114" t="s">
        <v>2559</v>
      </c>
      <c r="G186" s="114" t="b">
        <v>0</v>
      </c>
      <c r="H186" s="114" t="b">
        <v>0</v>
      </c>
      <c r="I186" s="114" t="b">
        <v>0</v>
      </c>
      <c r="J186" s="114" t="b">
        <v>0</v>
      </c>
      <c r="K186" s="114" t="b">
        <v>0</v>
      </c>
      <c r="L186" s="114" t="b">
        <v>0</v>
      </c>
    </row>
    <row r="187" spans="1:12" ht="15">
      <c r="A187" s="114" t="s">
        <v>1751</v>
      </c>
      <c r="B187" s="114" t="s">
        <v>1746</v>
      </c>
      <c r="C187" s="114">
        <v>5</v>
      </c>
      <c r="D187" s="116">
        <v>0.0010869724397613656</v>
      </c>
      <c r="E187" s="116">
        <v>0.9766591574964089</v>
      </c>
      <c r="F187" s="114" t="s">
        <v>2559</v>
      </c>
      <c r="G187" s="114" t="b">
        <v>0</v>
      </c>
      <c r="H187" s="114" t="b">
        <v>1</v>
      </c>
      <c r="I187" s="114" t="b">
        <v>0</v>
      </c>
      <c r="J187" s="114" t="b">
        <v>0</v>
      </c>
      <c r="K187" s="114" t="b">
        <v>1</v>
      </c>
      <c r="L187" s="114" t="b">
        <v>0</v>
      </c>
    </row>
    <row r="188" spans="1:12" ht="15">
      <c r="A188" s="114" t="s">
        <v>1836</v>
      </c>
      <c r="B188" s="114" t="s">
        <v>1739</v>
      </c>
      <c r="C188" s="114">
        <v>5</v>
      </c>
      <c r="D188" s="116">
        <v>0.0013380703755715862</v>
      </c>
      <c r="E188" s="116">
        <v>0.8588157432786194</v>
      </c>
      <c r="F188" s="114" t="s">
        <v>2559</v>
      </c>
      <c r="G188" s="114" t="b">
        <v>0</v>
      </c>
      <c r="H188" s="114" t="b">
        <v>0</v>
      </c>
      <c r="I188" s="114" t="b">
        <v>0</v>
      </c>
      <c r="J188" s="114" t="b">
        <v>0</v>
      </c>
      <c r="K188" s="114" t="b">
        <v>0</v>
      </c>
      <c r="L188" s="114" t="b">
        <v>0</v>
      </c>
    </row>
    <row r="189" spans="1:12" ht="15">
      <c r="A189" s="114" t="s">
        <v>1896</v>
      </c>
      <c r="B189" s="114" t="s">
        <v>1740</v>
      </c>
      <c r="C189" s="114">
        <v>5</v>
      </c>
      <c r="D189" s="116">
        <v>0.0010869724397613656</v>
      </c>
      <c r="E189" s="116">
        <v>1.0643468929842799</v>
      </c>
      <c r="F189" s="114" t="s">
        <v>2559</v>
      </c>
      <c r="G189" s="114" t="b">
        <v>0</v>
      </c>
      <c r="H189" s="114" t="b">
        <v>0</v>
      </c>
      <c r="I189" s="114" t="b">
        <v>0</v>
      </c>
      <c r="J189" s="114" t="b">
        <v>0</v>
      </c>
      <c r="K189" s="114" t="b">
        <v>0</v>
      </c>
      <c r="L189" s="114" t="b">
        <v>0</v>
      </c>
    </row>
    <row r="190" spans="1:12" ht="15">
      <c r="A190" s="114" t="s">
        <v>1756</v>
      </c>
      <c r="B190" s="114" t="s">
        <v>1877</v>
      </c>
      <c r="C190" s="114">
        <v>5</v>
      </c>
      <c r="D190" s="116">
        <v>0.0010869724397613656</v>
      </c>
      <c r="E190" s="116">
        <v>1.9921908596491948</v>
      </c>
      <c r="F190" s="114" t="s">
        <v>2559</v>
      </c>
      <c r="G190" s="114" t="b">
        <v>0</v>
      </c>
      <c r="H190" s="114" t="b">
        <v>0</v>
      </c>
      <c r="I190" s="114" t="b">
        <v>0</v>
      </c>
      <c r="J190" s="114" t="b">
        <v>0</v>
      </c>
      <c r="K190" s="114" t="b">
        <v>0</v>
      </c>
      <c r="L190" s="114" t="b">
        <v>0</v>
      </c>
    </row>
    <row r="191" spans="1:12" ht="15">
      <c r="A191" s="114" t="s">
        <v>1746</v>
      </c>
      <c r="B191" s="114" t="s">
        <v>1742</v>
      </c>
      <c r="C191" s="114">
        <v>5</v>
      </c>
      <c r="D191" s="116">
        <v>0.0010869724397613656</v>
      </c>
      <c r="E191" s="116">
        <v>0.27002117498097006</v>
      </c>
      <c r="F191" s="114" t="s">
        <v>2559</v>
      </c>
      <c r="G191" s="114" t="b">
        <v>0</v>
      </c>
      <c r="H191" s="114" t="b">
        <v>1</v>
      </c>
      <c r="I191" s="114" t="b">
        <v>0</v>
      </c>
      <c r="J191" s="114" t="b">
        <v>0</v>
      </c>
      <c r="K191" s="114" t="b">
        <v>0</v>
      </c>
      <c r="L191" s="114" t="b">
        <v>0</v>
      </c>
    </row>
    <row r="192" spans="1:12" ht="15">
      <c r="A192" s="114" t="s">
        <v>1941</v>
      </c>
      <c r="B192" s="114" t="s">
        <v>2001</v>
      </c>
      <c r="C192" s="114">
        <v>5</v>
      </c>
      <c r="D192" s="116">
        <v>0.0015280186312909081</v>
      </c>
      <c r="E192" s="116">
        <v>3.0391874223254183</v>
      </c>
      <c r="F192" s="114" t="s">
        <v>2559</v>
      </c>
      <c r="G192" s="114" t="b">
        <v>0</v>
      </c>
      <c r="H192" s="114" t="b">
        <v>0</v>
      </c>
      <c r="I192" s="114" t="b">
        <v>0</v>
      </c>
      <c r="J192" s="114" t="b">
        <v>0</v>
      </c>
      <c r="K192" s="114" t="b">
        <v>0</v>
      </c>
      <c r="L192" s="114" t="b">
        <v>0</v>
      </c>
    </row>
    <row r="193" spans="1:12" ht="15">
      <c r="A193" s="114" t="s">
        <v>1740</v>
      </c>
      <c r="B193" s="114" t="s">
        <v>1753</v>
      </c>
      <c r="C193" s="114">
        <v>5</v>
      </c>
      <c r="D193" s="116">
        <v>0.0010869724397613656</v>
      </c>
      <c r="E193" s="116">
        <v>0.5036401431487505</v>
      </c>
      <c r="F193" s="114" t="s">
        <v>2559</v>
      </c>
      <c r="G193" s="114" t="b">
        <v>0</v>
      </c>
      <c r="H193" s="114" t="b">
        <v>0</v>
      </c>
      <c r="I193" s="114" t="b">
        <v>0</v>
      </c>
      <c r="J193" s="114" t="b">
        <v>0</v>
      </c>
      <c r="K193" s="114" t="b">
        <v>0</v>
      </c>
      <c r="L193" s="114" t="b">
        <v>0</v>
      </c>
    </row>
    <row r="194" spans="1:12" ht="15">
      <c r="A194" s="114" t="s">
        <v>1824</v>
      </c>
      <c r="B194" s="114" t="s">
        <v>1739</v>
      </c>
      <c r="C194" s="114">
        <v>5</v>
      </c>
      <c r="D194" s="116">
        <v>0.0011481221198522645</v>
      </c>
      <c r="E194" s="116">
        <v>0.8588157432786194</v>
      </c>
      <c r="F194" s="114" t="s">
        <v>2559</v>
      </c>
      <c r="G194" s="114" t="b">
        <v>0</v>
      </c>
      <c r="H194" s="114" t="b">
        <v>0</v>
      </c>
      <c r="I194" s="114" t="b">
        <v>0</v>
      </c>
      <c r="J194" s="114" t="b">
        <v>0</v>
      </c>
      <c r="K194" s="114" t="b">
        <v>0</v>
      </c>
      <c r="L194" s="114" t="b">
        <v>0</v>
      </c>
    </row>
    <row r="195" spans="1:12" ht="15">
      <c r="A195" s="114" t="s">
        <v>1850</v>
      </c>
      <c r="B195" s="114" t="s">
        <v>1741</v>
      </c>
      <c r="C195" s="114">
        <v>5</v>
      </c>
      <c r="D195" s="116">
        <v>0.0010869724397613656</v>
      </c>
      <c r="E195" s="116">
        <v>1.2074090303665381</v>
      </c>
      <c r="F195" s="114" t="s">
        <v>2559</v>
      </c>
      <c r="G195" s="114" t="b">
        <v>0</v>
      </c>
      <c r="H195" s="114" t="b">
        <v>0</v>
      </c>
      <c r="I195" s="114" t="b">
        <v>0</v>
      </c>
      <c r="J195" s="114" t="b">
        <v>0</v>
      </c>
      <c r="K195" s="114" t="b">
        <v>0</v>
      </c>
      <c r="L195" s="114" t="b">
        <v>0</v>
      </c>
    </row>
    <row r="196" spans="1:12" ht="15">
      <c r="A196" s="114" t="s">
        <v>1743</v>
      </c>
      <c r="B196" s="114" t="s">
        <v>1751</v>
      </c>
      <c r="C196" s="114">
        <v>5</v>
      </c>
      <c r="D196" s="116">
        <v>0.0010869724397613656</v>
      </c>
      <c r="E196" s="116">
        <v>0.5498317111887444</v>
      </c>
      <c r="F196" s="114" t="s">
        <v>2559</v>
      </c>
      <c r="G196" s="114" t="b">
        <v>0</v>
      </c>
      <c r="H196" s="114" t="b">
        <v>0</v>
      </c>
      <c r="I196" s="114" t="b">
        <v>0</v>
      </c>
      <c r="J196" s="114" t="b">
        <v>0</v>
      </c>
      <c r="K196" s="114" t="b">
        <v>1</v>
      </c>
      <c r="L196" s="114" t="b">
        <v>0</v>
      </c>
    </row>
    <row r="197" spans="1:12" ht="15">
      <c r="A197" s="114" t="s">
        <v>1739</v>
      </c>
      <c r="B197" s="114" t="s">
        <v>1749</v>
      </c>
      <c r="C197" s="114">
        <v>5</v>
      </c>
      <c r="D197" s="116">
        <v>0.0011481221198522645</v>
      </c>
      <c r="E197" s="116">
        <v>0.14046224073592495</v>
      </c>
      <c r="F197" s="114" t="s">
        <v>2559</v>
      </c>
      <c r="G197" s="114" t="b">
        <v>0</v>
      </c>
      <c r="H197" s="114" t="b">
        <v>0</v>
      </c>
      <c r="I197" s="114" t="b">
        <v>0</v>
      </c>
      <c r="J197" s="114" t="b">
        <v>0</v>
      </c>
      <c r="K197" s="114" t="b">
        <v>0</v>
      </c>
      <c r="L197" s="114" t="b">
        <v>0</v>
      </c>
    </row>
    <row r="198" spans="1:12" ht="15">
      <c r="A198" s="114" t="s">
        <v>1897</v>
      </c>
      <c r="B198" s="114" t="s">
        <v>1887</v>
      </c>
      <c r="C198" s="114">
        <v>5</v>
      </c>
      <c r="D198" s="116">
        <v>0.0010869724397613656</v>
      </c>
      <c r="E198" s="116">
        <v>2.7839149172221123</v>
      </c>
      <c r="F198" s="114" t="s">
        <v>2559</v>
      </c>
      <c r="G198" s="114" t="b">
        <v>0</v>
      </c>
      <c r="H198" s="114" t="b">
        <v>0</v>
      </c>
      <c r="I198" s="114" t="b">
        <v>0</v>
      </c>
      <c r="J198" s="114" t="b">
        <v>0</v>
      </c>
      <c r="K198" s="114" t="b">
        <v>0</v>
      </c>
      <c r="L198" s="114" t="b">
        <v>0</v>
      </c>
    </row>
    <row r="199" spans="1:12" ht="15">
      <c r="A199" s="114" t="s">
        <v>1944</v>
      </c>
      <c r="B199" s="114" t="s">
        <v>1879</v>
      </c>
      <c r="C199" s="114">
        <v>5</v>
      </c>
      <c r="D199" s="116">
        <v>0.0011481221198522645</v>
      </c>
      <c r="E199" s="116">
        <v>2.738157426661437</v>
      </c>
      <c r="F199" s="114" t="s">
        <v>2559</v>
      </c>
      <c r="G199" s="114" t="b">
        <v>0</v>
      </c>
      <c r="H199" s="114" t="b">
        <v>0</v>
      </c>
      <c r="I199" s="114" t="b">
        <v>0</v>
      </c>
      <c r="J199" s="114" t="b">
        <v>0</v>
      </c>
      <c r="K199" s="114" t="b">
        <v>0</v>
      </c>
      <c r="L199" s="114" t="b">
        <v>0</v>
      </c>
    </row>
    <row r="200" spans="1:12" ht="15">
      <c r="A200" s="114" t="s">
        <v>1739</v>
      </c>
      <c r="B200" s="114" t="s">
        <v>1746</v>
      </c>
      <c r="C200" s="114">
        <v>5</v>
      </c>
      <c r="D200" s="116">
        <v>0.0010869724397613656</v>
      </c>
      <c r="E200" s="116">
        <v>-0.04584818350144237</v>
      </c>
      <c r="F200" s="114" t="s">
        <v>2559</v>
      </c>
      <c r="G200" s="114" t="b">
        <v>0</v>
      </c>
      <c r="H200" s="114" t="b">
        <v>0</v>
      </c>
      <c r="I200" s="114" t="b">
        <v>0</v>
      </c>
      <c r="J200" s="114" t="b">
        <v>0</v>
      </c>
      <c r="K200" s="114" t="b">
        <v>1</v>
      </c>
      <c r="L200" s="114" t="b">
        <v>0</v>
      </c>
    </row>
    <row r="201" spans="1:12" ht="15">
      <c r="A201" s="114" t="s">
        <v>1799</v>
      </c>
      <c r="B201" s="114" t="s">
        <v>1807</v>
      </c>
      <c r="C201" s="114">
        <v>5</v>
      </c>
      <c r="D201" s="116">
        <v>0.0013380703755715862</v>
      </c>
      <c r="E201" s="116">
        <v>2.1486865626414953</v>
      </c>
      <c r="F201" s="114" t="s">
        <v>2559</v>
      </c>
      <c r="G201" s="114" t="b">
        <v>0</v>
      </c>
      <c r="H201" s="114" t="b">
        <v>0</v>
      </c>
      <c r="I201" s="114" t="b">
        <v>0</v>
      </c>
      <c r="J201" s="114" t="b">
        <v>0</v>
      </c>
      <c r="K201" s="114" t="b">
        <v>0</v>
      </c>
      <c r="L201" s="114" t="b">
        <v>0</v>
      </c>
    </row>
    <row r="202" spans="1:12" ht="15">
      <c r="A202" s="114" t="s">
        <v>1808</v>
      </c>
      <c r="B202" s="114" t="s">
        <v>1747</v>
      </c>
      <c r="C202" s="114">
        <v>5</v>
      </c>
      <c r="D202" s="116">
        <v>0.0010869724397613656</v>
      </c>
      <c r="E202" s="116">
        <v>1.4760454970278256</v>
      </c>
      <c r="F202" s="114" t="s">
        <v>2559</v>
      </c>
      <c r="G202" s="114" t="b">
        <v>0</v>
      </c>
      <c r="H202" s="114" t="b">
        <v>0</v>
      </c>
      <c r="I202" s="114" t="b">
        <v>0</v>
      </c>
      <c r="J202" s="114" t="b">
        <v>0</v>
      </c>
      <c r="K202" s="114" t="b">
        <v>0</v>
      </c>
      <c r="L202" s="114" t="b">
        <v>0</v>
      </c>
    </row>
    <row r="203" spans="1:12" ht="15">
      <c r="A203" s="114" t="s">
        <v>1739</v>
      </c>
      <c r="B203" s="114" t="s">
        <v>1778</v>
      </c>
      <c r="C203" s="114">
        <v>5</v>
      </c>
      <c r="D203" s="116">
        <v>0.0012269577688983901</v>
      </c>
      <c r="E203" s="116">
        <v>0.5462275869199191</v>
      </c>
      <c r="F203" s="114" t="s">
        <v>2559</v>
      </c>
      <c r="G203" s="114" t="b">
        <v>0</v>
      </c>
      <c r="H203" s="114" t="b">
        <v>0</v>
      </c>
      <c r="I203" s="114" t="b">
        <v>0</v>
      </c>
      <c r="J203" s="114" t="b">
        <v>0</v>
      </c>
      <c r="K203" s="114" t="b">
        <v>0</v>
      </c>
      <c r="L203" s="114" t="b">
        <v>0</v>
      </c>
    </row>
    <row r="204" spans="1:12" ht="15">
      <c r="A204" s="114" t="s">
        <v>1740</v>
      </c>
      <c r="B204" s="114" t="s">
        <v>1820</v>
      </c>
      <c r="C204" s="114">
        <v>5</v>
      </c>
      <c r="D204" s="116">
        <v>0.0012269577688983901</v>
      </c>
      <c r="E204" s="116">
        <v>0.9429728369790132</v>
      </c>
      <c r="F204" s="114" t="s">
        <v>2559</v>
      </c>
      <c r="G204" s="114" t="b">
        <v>0</v>
      </c>
      <c r="H204" s="114" t="b">
        <v>0</v>
      </c>
      <c r="I204" s="114" t="b">
        <v>0</v>
      </c>
      <c r="J204" s="114" t="b">
        <v>0</v>
      </c>
      <c r="K204" s="114" t="b">
        <v>0</v>
      </c>
      <c r="L204" s="114" t="b">
        <v>0</v>
      </c>
    </row>
    <row r="205" spans="1:12" ht="15">
      <c r="A205" s="114" t="s">
        <v>1903</v>
      </c>
      <c r="B205" s="114" t="s">
        <v>1903</v>
      </c>
      <c r="C205" s="114">
        <v>5</v>
      </c>
      <c r="D205" s="116">
        <v>0.0013380703755715862</v>
      </c>
      <c r="E205" s="116">
        <v>2.6747704477970444</v>
      </c>
      <c r="F205" s="114" t="s">
        <v>2559</v>
      </c>
      <c r="G205" s="114" t="b">
        <v>0</v>
      </c>
      <c r="H205" s="114" t="b">
        <v>0</v>
      </c>
      <c r="I205" s="114" t="b">
        <v>0</v>
      </c>
      <c r="J205" s="114" t="b">
        <v>0</v>
      </c>
      <c r="K205" s="114" t="b">
        <v>0</v>
      </c>
      <c r="L205" s="114" t="b">
        <v>0</v>
      </c>
    </row>
    <row r="206" spans="1:12" ht="15">
      <c r="A206" s="114" t="s">
        <v>1976</v>
      </c>
      <c r="B206" s="114" t="s">
        <v>1977</v>
      </c>
      <c r="C206" s="114">
        <v>5</v>
      </c>
      <c r="D206" s="116">
        <v>0.0015280186312909081</v>
      </c>
      <c r="E206" s="116">
        <v>3.0269529659084067</v>
      </c>
      <c r="F206" s="114" t="s">
        <v>2559</v>
      </c>
      <c r="G206" s="114" t="b">
        <v>0</v>
      </c>
      <c r="H206" s="114" t="b">
        <v>0</v>
      </c>
      <c r="I206" s="114" t="b">
        <v>0</v>
      </c>
      <c r="J206" s="114" t="b">
        <v>0</v>
      </c>
      <c r="K206" s="114" t="b">
        <v>0</v>
      </c>
      <c r="L206" s="114" t="b">
        <v>0</v>
      </c>
    </row>
    <row r="207" spans="1:12" ht="15">
      <c r="A207" s="114" t="s">
        <v>1815</v>
      </c>
      <c r="B207" s="114" t="s">
        <v>1765</v>
      </c>
      <c r="C207" s="114">
        <v>4</v>
      </c>
      <c r="D207" s="116">
        <v>0.0012224149050327265</v>
      </c>
      <c r="E207" s="116">
        <v>1.9252440700185816</v>
      </c>
      <c r="F207" s="114" t="s">
        <v>2559</v>
      </c>
      <c r="G207" s="114" t="b">
        <v>0</v>
      </c>
      <c r="H207" s="114" t="b">
        <v>0</v>
      </c>
      <c r="I207" s="114" t="b">
        <v>0</v>
      </c>
      <c r="J207" s="114" t="b">
        <v>0</v>
      </c>
      <c r="K207" s="114" t="b">
        <v>0</v>
      </c>
      <c r="L207" s="114" t="b">
        <v>0</v>
      </c>
    </row>
    <row r="208" spans="1:12" ht="15">
      <c r="A208" s="114" t="s">
        <v>1755</v>
      </c>
      <c r="B208" s="114" t="s">
        <v>1740</v>
      </c>
      <c r="C208" s="114">
        <v>4</v>
      </c>
      <c r="D208" s="116">
        <v>0.0009184976958818116</v>
      </c>
      <c r="E208" s="116">
        <v>0.3418957927987382</v>
      </c>
      <c r="F208" s="114" t="s">
        <v>2559</v>
      </c>
      <c r="G208" s="114" t="b">
        <v>0</v>
      </c>
      <c r="H208" s="114" t="b">
        <v>0</v>
      </c>
      <c r="I208" s="114" t="b">
        <v>0</v>
      </c>
      <c r="J208" s="114" t="b">
        <v>0</v>
      </c>
      <c r="K208" s="114" t="b">
        <v>0</v>
      </c>
      <c r="L208" s="114" t="b">
        <v>0</v>
      </c>
    </row>
    <row r="209" spans="1:12" ht="15">
      <c r="A209" s="114" t="s">
        <v>1934</v>
      </c>
      <c r="B209" s="114" t="s">
        <v>1742</v>
      </c>
      <c r="C209" s="114">
        <v>4</v>
      </c>
      <c r="D209" s="116">
        <v>0.0009184976958818116</v>
      </c>
      <c r="E209" s="116">
        <v>1.2574320476729495</v>
      </c>
      <c r="F209" s="114" t="s">
        <v>2559</v>
      </c>
      <c r="G209" s="114" t="b">
        <v>0</v>
      </c>
      <c r="H209" s="114" t="b">
        <v>0</v>
      </c>
      <c r="I209" s="114" t="b">
        <v>0</v>
      </c>
      <c r="J209" s="114" t="b">
        <v>0</v>
      </c>
      <c r="K209" s="114" t="b">
        <v>0</v>
      </c>
      <c r="L209" s="114" t="b">
        <v>0</v>
      </c>
    </row>
    <row r="210" spans="1:12" ht="15">
      <c r="A210" s="114" t="s">
        <v>2029</v>
      </c>
      <c r="B210" s="114" t="s">
        <v>2030</v>
      </c>
      <c r="C210" s="114">
        <v>4</v>
      </c>
      <c r="D210" s="116">
        <v>0.0009184976958818116</v>
      </c>
      <c r="E210" s="116">
        <v>3.2822254710117127</v>
      </c>
      <c r="F210" s="114" t="s">
        <v>2559</v>
      </c>
      <c r="G210" s="114" t="b">
        <v>0</v>
      </c>
      <c r="H210" s="114" t="b">
        <v>0</v>
      </c>
      <c r="I210" s="114" t="b">
        <v>0</v>
      </c>
      <c r="J210" s="114" t="b">
        <v>0</v>
      </c>
      <c r="K210" s="114" t="b">
        <v>0</v>
      </c>
      <c r="L210" s="114" t="b">
        <v>0</v>
      </c>
    </row>
    <row r="211" spans="1:12" ht="15">
      <c r="A211" s="114" t="s">
        <v>2030</v>
      </c>
      <c r="B211" s="114" t="s">
        <v>1954</v>
      </c>
      <c r="C211" s="114">
        <v>4</v>
      </c>
      <c r="D211" s="116">
        <v>0.0009184976958818116</v>
      </c>
      <c r="E211" s="116">
        <v>3.106134211956032</v>
      </c>
      <c r="F211" s="114" t="s">
        <v>2559</v>
      </c>
      <c r="G211" s="114" t="b">
        <v>0</v>
      </c>
      <c r="H211" s="114" t="b">
        <v>0</v>
      </c>
      <c r="I211" s="114" t="b">
        <v>0</v>
      </c>
      <c r="J211" s="114" t="b">
        <v>0</v>
      </c>
      <c r="K211" s="114" t="b">
        <v>0</v>
      </c>
      <c r="L211" s="114" t="b">
        <v>0</v>
      </c>
    </row>
    <row r="212" spans="1:12" ht="15">
      <c r="A212" s="114" t="s">
        <v>1954</v>
      </c>
      <c r="B212" s="114" t="s">
        <v>1866</v>
      </c>
      <c r="C212" s="114">
        <v>4</v>
      </c>
      <c r="D212" s="116">
        <v>0.0009184976958818116</v>
      </c>
      <c r="E212" s="116">
        <v>2.7081942032839943</v>
      </c>
      <c r="F212" s="114" t="s">
        <v>2559</v>
      </c>
      <c r="G212" s="114" t="b">
        <v>0</v>
      </c>
      <c r="H212" s="114" t="b">
        <v>0</v>
      </c>
      <c r="I212" s="114" t="b">
        <v>0</v>
      </c>
      <c r="J212" s="114" t="b">
        <v>0</v>
      </c>
      <c r="K212" s="114" t="b">
        <v>0</v>
      </c>
      <c r="L212" s="114" t="b">
        <v>0</v>
      </c>
    </row>
    <row r="213" spans="1:12" ht="15">
      <c r="A213" s="114" t="s">
        <v>1866</v>
      </c>
      <c r="B213" s="114" t="s">
        <v>2031</v>
      </c>
      <c r="C213" s="114">
        <v>4</v>
      </c>
      <c r="D213" s="116">
        <v>0.0009184976958818116</v>
      </c>
      <c r="E213" s="116">
        <v>2.884285462339675</v>
      </c>
      <c r="F213" s="114" t="s">
        <v>2559</v>
      </c>
      <c r="G213" s="114" t="b">
        <v>0</v>
      </c>
      <c r="H213" s="114" t="b">
        <v>0</v>
      </c>
      <c r="I213" s="114" t="b">
        <v>0</v>
      </c>
      <c r="J213" s="114" t="b">
        <v>0</v>
      </c>
      <c r="K213" s="114" t="b">
        <v>0</v>
      </c>
      <c r="L213" s="114" t="b">
        <v>0</v>
      </c>
    </row>
    <row r="214" spans="1:12" ht="15">
      <c r="A214" s="114" t="s">
        <v>2031</v>
      </c>
      <c r="B214" s="114" t="s">
        <v>1779</v>
      </c>
      <c r="C214" s="114">
        <v>4</v>
      </c>
      <c r="D214" s="116">
        <v>0.0009184976958818116</v>
      </c>
      <c r="E214" s="116">
        <v>2.541862781517469</v>
      </c>
      <c r="F214" s="114" t="s">
        <v>2559</v>
      </c>
      <c r="G214" s="114" t="b">
        <v>0</v>
      </c>
      <c r="H214" s="114" t="b">
        <v>0</v>
      </c>
      <c r="I214" s="114" t="b">
        <v>0</v>
      </c>
      <c r="J214" s="114" t="b">
        <v>0</v>
      </c>
      <c r="K214" s="114" t="b">
        <v>0</v>
      </c>
      <c r="L214" s="114" t="b">
        <v>0</v>
      </c>
    </row>
    <row r="215" spans="1:12" ht="15">
      <c r="A215" s="114" t="s">
        <v>1779</v>
      </c>
      <c r="B215" s="114" t="s">
        <v>1866</v>
      </c>
      <c r="C215" s="114">
        <v>4</v>
      </c>
      <c r="D215" s="116">
        <v>0.0009184976958818116</v>
      </c>
      <c r="E215" s="116">
        <v>2.1439227728454315</v>
      </c>
      <c r="F215" s="114" t="s">
        <v>2559</v>
      </c>
      <c r="G215" s="114" t="b">
        <v>0</v>
      </c>
      <c r="H215" s="114" t="b">
        <v>0</v>
      </c>
      <c r="I215" s="114" t="b">
        <v>0</v>
      </c>
      <c r="J215" s="114" t="b">
        <v>0</v>
      </c>
      <c r="K215" s="114" t="b">
        <v>0</v>
      </c>
      <c r="L215" s="114" t="b">
        <v>0</v>
      </c>
    </row>
    <row r="216" spans="1:12" ht="15">
      <c r="A216" s="114" t="s">
        <v>1866</v>
      </c>
      <c r="B216" s="114" t="s">
        <v>1779</v>
      </c>
      <c r="C216" s="114">
        <v>4</v>
      </c>
      <c r="D216" s="116">
        <v>0.0009184976958818116</v>
      </c>
      <c r="E216" s="116">
        <v>2.1439227728454315</v>
      </c>
      <c r="F216" s="114" t="s">
        <v>2559</v>
      </c>
      <c r="G216" s="114" t="b">
        <v>0</v>
      </c>
      <c r="H216" s="114" t="b">
        <v>0</v>
      </c>
      <c r="I216" s="114" t="b">
        <v>0</v>
      </c>
      <c r="J216" s="114" t="b">
        <v>0</v>
      </c>
      <c r="K216" s="114" t="b">
        <v>0</v>
      </c>
      <c r="L216" s="114" t="b">
        <v>0</v>
      </c>
    </row>
    <row r="217" spans="1:12" ht="15">
      <c r="A217" s="114" t="s">
        <v>1755</v>
      </c>
      <c r="B217" s="114" t="s">
        <v>2032</v>
      </c>
      <c r="C217" s="114">
        <v>4</v>
      </c>
      <c r="D217" s="116">
        <v>0.0009184976958818116</v>
      </c>
      <c r="E217" s="116">
        <v>2.304501865722865</v>
      </c>
      <c r="F217" s="114" t="s">
        <v>2559</v>
      </c>
      <c r="G217" s="114" t="b">
        <v>0</v>
      </c>
      <c r="H217" s="114" t="b">
        <v>0</v>
      </c>
      <c r="I217" s="114" t="b">
        <v>0</v>
      </c>
      <c r="J217" s="114" t="b">
        <v>0</v>
      </c>
      <c r="K217" s="114" t="b">
        <v>0</v>
      </c>
      <c r="L217" s="114" t="b">
        <v>0</v>
      </c>
    </row>
    <row r="218" spans="1:12" ht="15">
      <c r="A218" s="114" t="s">
        <v>2032</v>
      </c>
      <c r="B218" s="114" t="s">
        <v>1955</v>
      </c>
      <c r="C218" s="114">
        <v>4</v>
      </c>
      <c r="D218" s="116">
        <v>0.0009184976958818116</v>
      </c>
      <c r="E218" s="116">
        <v>3.106134211956032</v>
      </c>
      <c r="F218" s="114" t="s">
        <v>2559</v>
      </c>
      <c r="G218" s="114" t="b">
        <v>0</v>
      </c>
      <c r="H218" s="114" t="b">
        <v>0</v>
      </c>
      <c r="I218" s="114" t="b">
        <v>0</v>
      </c>
      <c r="J218" s="114" t="b">
        <v>0</v>
      </c>
      <c r="K218" s="114" t="b">
        <v>0</v>
      </c>
      <c r="L218" s="114" t="b">
        <v>0</v>
      </c>
    </row>
    <row r="219" spans="1:12" ht="15">
      <c r="A219" s="114" t="s">
        <v>1955</v>
      </c>
      <c r="B219" s="114" t="s">
        <v>1779</v>
      </c>
      <c r="C219" s="114">
        <v>4</v>
      </c>
      <c r="D219" s="116">
        <v>0.0009184976958818116</v>
      </c>
      <c r="E219" s="116">
        <v>2.365771522461788</v>
      </c>
      <c r="F219" s="114" t="s">
        <v>2559</v>
      </c>
      <c r="G219" s="114" t="b">
        <v>0</v>
      </c>
      <c r="H219" s="114" t="b">
        <v>0</v>
      </c>
      <c r="I219" s="114" t="b">
        <v>0</v>
      </c>
      <c r="J219" s="114" t="b">
        <v>0</v>
      </c>
      <c r="K219" s="114" t="b">
        <v>0</v>
      </c>
      <c r="L219" s="114" t="b">
        <v>0</v>
      </c>
    </row>
    <row r="220" spans="1:12" ht="15">
      <c r="A220" s="114" t="s">
        <v>1779</v>
      </c>
      <c r="B220" s="114" t="s">
        <v>1847</v>
      </c>
      <c r="C220" s="114">
        <v>4</v>
      </c>
      <c r="D220" s="116">
        <v>0.0009184976958818116</v>
      </c>
      <c r="E220" s="116">
        <v>2.1025300876872066</v>
      </c>
      <c r="F220" s="114" t="s">
        <v>2559</v>
      </c>
      <c r="G220" s="114" t="b">
        <v>0</v>
      </c>
      <c r="H220" s="114" t="b">
        <v>0</v>
      </c>
      <c r="I220" s="114" t="b">
        <v>0</v>
      </c>
      <c r="J220" s="114" t="b">
        <v>0</v>
      </c>
      <c r="K220" s="114" t="b">
        <v>0</v>
      </c>
      <c r="L220" s="114" t="b">
        <v>0</v>
      </c>
    </row>
    <row r="221" spans="1:12" ht="15">
      <c r="A221" s="114" t="s">
        <v>1847</v>
      </c>
      <c r="B221" s="114" t="s">
        <v>1779</v>
      </c>
      <c r="C221" s="114">
        <v>4</v>
      </c>
      <c r="D221" s="116">
        <v>0.0009184976958818116</v>
      </c>
      <c r="E221" s="116">
        <v>2.1025300876872066</v>
      </c>
      <c r="F221" s="114" t="s">
        <v>2559</v>
      </c>
      <c r="G221" s="114" t="b">
        <v>0</v>
      </c>
      <c r="H221" s="114" t="b">
        <v>0</v>
      </c>
      <c r="I221" s="114" t="b">
        <v>0</v>
      </c>
      <c r="J221" s="114" t="b">
        <v>0</v>
      </c>
      <c r="K221" s="114" t="b">
        <v>0</v>
      </c>
      <c r="L221" s="114" t="b">
        <v>0</v>
      </c>
    </row>
    <row r="222" spans="1:12" ht="15">
      <c r="A222" s="114" t="s">
        <v>1779</v>
      </c>
      <c r="B222" s="114" t="s">
        <v>1888</v>
      </c>
      <c r="C222" s="114">
        <v>4</v>
      </c>
      <c r="D222" s="116">
        <v>0.0009184976958818116</v>
      </c>
      <c r="E222" s="116">
        <v>2.1896802634061068</v>
      </c>
      <c r="F222" s="114" t="s">
        <v>2559</v>
      </c>
      <c r="G222" s="114" t="b">
        <v>0</v>
      </c>
      <c r="H222" s="114" t="b">
        <v>0</v>
      </c>
      <c r="I222" s="114" t="b">
        <v>0</v>
      </c>
      <c r="J222" s="114" t="b">
        <v>0</v>
      </c>
      <c r="K222" s="114" t="b">
        <v>0</v>
      </c>
      <c r="L222" s="114" t="b">
        <v>0</v>
      </c>
    </row>
    <row r="223" spans="1:12" ht="15">
      <c r="A223" s="114" t="s">
        <v>1743</v>
      </c>
      <c r="B223" s="114" t="s">
        <v>1849</v>
      </c>
      <c r="C223" s="114">
        <v>4</v>
      </c>
      <c r="D223" s="116">
        <v>0.000981566215118712</v>
      </c>
      <c r="E223" s="116">
        <v>1.0927702503980503</v>
      </c>
      <c r="F223" s="114" t="s">
        <v>2559</v>
      </c>
      <c r="G223" s="114" t="b">
        <v>0</v>
      </c>
      <c r="H223" s="114" t="b">
        <v>0</v>
      </c>
      <c r="I223" s="114" t="b">
        <v>0</v>
      </c>
      <c r="J223" s="114" t="b">
        <v>0</v>
      </c>
      <c r="K223" s="114" t="b">
        <v>0</v>
      </c>
      <c r="L223" s="114" t="b">
        <v>0</v>
      </c>
    </row>
    <row r="224" spans="1:12" ht="15">
      <c r="A224" s="114" t="s">
        <v>1743</v>
      </c>
      <c r="B224" s="114" t="s">
        <v>1811</v>
      </c>
      <c r="C224" s="114">
        <v>4</v>
      </c>
      <c r="D224" s="116">
        <v>0.0009184976958818116</v>
      </c>
      <c r="E224" s="116">
        <v>0.958071676500594</v>
      </c>
      <c r="F224" s="114" t="s">
        <v>2559</v>
      </c>
      <c r="G224" s="114" t="b">
        <v>0</v>
      </c>
      <c r="H224" s="114" t="b">
        <v>0</v>
      </c>
      <c r="I224" s="114" t="b">
        <v>0</v>
      </c>
      <c r="J224" s="114" t="b">
        <v>0</v>
      </c>
      <c r="K224" s="114" t="b">
        <v>0</v>
      </c>
      <c r="L224" s="114" t="b">
        <v>0</v>
      </c>
    </row>
    <row r="225" spans="1:12" ht="15">
      <c r="A225" s="114" t="s">
        <v>1750</v>
      </c>
      <c r="B225" s="114" t="s">
        <v>1740</v>
      </c>
      <c r="C225" s="114">
        <v>4</v>
      </c>
      <c r="D225" s="116">
        <v>0.000981566215118712</v>
      </c>
      <c r="E225" s="116">
        <v>0.2684668756402046</v>
      </c>
      <c r="F225" s="114" t="s">
        <v>2559</v>
      </c>
      <c r="G225" s="114" t="b">
        <v>0</v>
      </c>
      <c r="H225" s="114" t="b">
        <v>0</v>
      </c>
      <c r="I225" s="114" t="b">
        <v>0</v>
      </c>
      <c r="J225" s="114" t="b">
        <v>0</v>
      </c>
      <c r="K225" s="114" t="b">
        <v>0</v>
      </c>
      <c r="L225" s="114" t="b">
        <v>0</v>
      </c>
    </row>
    <row r="226" spans="1:12" ht="15">
      <c r="A226" s="114" t="s">
        <v>1936</v>
      </c>
      <c r="B226" s="114" t="s">
        <v>1911</v>
      </c>
      <c r="C226" s="114">
        <v>4</v>
      </c>
      <c r="D226" s="116">
        <v>0.0012224149050327265</v>
      </c>
      <c r="E226" s="116">
        <v>2.738157426661437</v>
      </c>
      <c r="F226" s="114" t="s">
        <v>2559</v>
      </c>
      <c r="G226" s="114" t="b">
        <v>0</v>
      </c>
      <c r="H226" s="114" t="b">
        <v>0</v>
      </c>
      <c r="I226" s="114" t="b">
        <v>0</v>
      </c>
      <c r="J226" s="114" t="b">
        <v>0</v>
      </c>
      <c r="K226" s="114" t="b">
        <v>0</v>
      </c>
      <c r="L226" s="114" t="b">
        <v>0</v>
      </c>
    </row>
    <row r="227" spans="1:12" ht="15">
      <c r="A227" s="114" t="s">
        <v>1804</v>
      </c>
      <c r="B227" s="114" t="s">
        <v>1739</v>
      </c>
      <c r="C227" s="114">
        <v>4</v>
      </c>
      <c r="D227" s="116">
        <v>0.0009184976958818116</v>
      </c>
      <c r="E227" s="116">
        <v>0.5991784327728633</v>
      </c>
      <c r="F227" s="114" t="s">
        <v>2559</v>
      </c>
      <c r="G227" s="114" t="b">
        <v>0</v>
      </c>
      <c r="H227" s="114" t="b">
        <v>0</v>
      </c>
      <c r="I227" s="114" t="b">
        <v>0</v>
      </c>
      <c r="J227" s="114" t="b">
        <v>0</v>
      </c>
      <c r="K227" s="114" t="b">
        <v>0</v>
      </c>
      <c r="L227" s="114" t="b">
        <v>0</v>
      </c>
    </row>
    <row r="228" spans="1:12" ht="15">
      <c r="A228" s="114" t="s">
        <v>1739</v>
      </c>
      <c r="B228" s="114" t="s">
        <v>1889</v>
      </c>
      <c r="C228" s="114">
        <v>4</v>
      </c>
      <c r="D228" s="116">
        <v>0.0009184976958818116</v>
      </c>
      <c r="E228" s="116">
        <v>0.8374977452947441</v>
      </c>
      <c r="F228" s="114" t="s">
        <v>2559</v>
      </c>
      <c r="G228" s="114" t="b">
        <v>0</v>
      </c>
      <c r="H228" s="114" t="b">
        <v>0</v>
      </c>
      <c r="I228" s="114" t="b">
        <v>0</v>
      </c>
      <c r="J228" s="114" t="b">
        <v>0</v>
      </c>
      <c r="K228" s="114" t="b">
        <v>0</v>
      </c>
      <c r="L228" s="114" t="b">
        <v>0</v>
      </c>
    </row>
    <row r="229" spans="1:12" ht="15">
      <c r="A229" s="114" t="s">
        <v>1744</v>
      </c>
      <c r="B229" s="114" t="s">
        <v>1744</v>
      </c>
      <c r="C229" s="114">
        <v>4</v>
      </c>
      <c r="D229" s="116">
        <v>0.0009184976958818116</v>
      </c>
      <c r="E229" s="116">
        <v>0.4358883588819076</v>
      </c>
      <c r="F229" s="114" t="s">
        <v>2559</v>
      </c>
      <c r="G229" s="114" t="b">
        <v>0</v>
      </c>
      <c r="H229" s="114" t="b">
        <v>0</v>
      </c>
      <c r="I229" s="114" t="b">
        <v>0</v>
      </c>
      <c r="J229" s="114" t="b">
        <v>0</v>
      </c>
      <c r="K229" s="114" t="b">
        <v>0</v>
      </c>
      <c r="L229" s="114" t="b">
        <v>0</v>
      </c>
    </row>
    <row r="230" spans="1:12" ht="15">
      <c r="A230" s="114" t="s">
        <v>1795</v>
      </c>
      <c r="B230" s="114" t="s">
        <v>2038</v>
      </c>
      <c r="C230" s="114">
        <v>4</v>
      </c>
      <c r="D230" s="116">
        <v>0.0009184976958818116</v>
      </c>
      <c r="E230" s="116">
        <v>2.629012957236369</v>
      </c>
      <c r="F230" s="114" t="s">
        <v>2559</v>
      </c>
      <c r="G230" s="114" t="b">
        <v>0</v>
      </c>
      <c r="H230" s="114" t="b">
        <v>1</v>
      </c>
      <c r="I230" s="114" t="b">
        <v>0</v>
      </c>
      <c r="J230" s="114" t="b">
        <v>0</v>
      </c>
      <c r="K230" s="114" t="b">
        <v>1</v>
      </c>
      <c r="L230" s="114" t="b">
        <v>0</v>
      </c>
    </row>
    <row r="231" spans="1:12" ht="15">
      <c r="A231" s="114" t="s">
        <v>1743</v>
      </c>
      <c r="B231" s="114" t="s">
        <v>1749</v>
      </c>
      <c r="C231" s="114">
        <v>4</v>
      </c>
      <c r="D231" s="116">
        <v>0.0009184976958818116</v>
      </c>
      <c r="E231" s="116">
        <v>0.38597490855007477</v>
      </c>
      <c r="F231" s="114" t="s">
        <v>2559</v>
      </c>
      <c r="G231" s="114" t="b">
        <v>0</v>
      </c>
      <c r="H231" s="114" t="b">
        <v>0</v>
      </c>
      <c r="I231" s="114" t="b">
        <v>0</v>
      </c>
      <c r="J231" s="114" t="b">
        <v>0</v>
      </c>
      <c r="K231" s="114" t="b">
        <v>0</v>
      </c>
      <c r="L231" s="114" t="b">
        <v>0</v>
      </c>
    </row>
    <row r="232" spans="1:12" ht="15">
      <c r="A232" s="114" t="s">
        <v>1959</v>
      </c>
      <c r="B232" s="114" t="s">
        <v>1740</v>
      </c>
      <c r="C232" s="114">
        <v>4</v>
      </c>
      <c r="D232" s="116">
        <v>0.000981566215118712</v>
      </c>
      <c r="E232" s="116">
        <v>1.1435281390319048</v>
      </c>
      <c r="F232" s="114" t="s">
        <v>2559</v>
      </c>
      <c r="G232" s="114" t="b">
        <v>0</v>
      </c>
      <c r="H232" s="114" t="b">
        <v>0</v>
      </c>
      <c r="I232" s="114" t="b">
        <v>0</v>
      </c>
      <c r="J232" s="114" t="b">
        <v>0</v>
      </c>
      <c r="K232" s="114" t="b">
        <v>0</v>
      </c>
      <c r="L232" s="114" t="b">
        <v>0</v>
      </c>
    </row>
    <row r="233" spans="1:12" ht="15">
      <c r="A233" s="114" t="s">
        <v>1740</v>
      </c>
      <c r="B233" s="114" t="s">
        <v>1759</v>
      </c>
      <c r="C233" s="114">
        <v>4</v>
      </c>
      <c r="D233" s="116">
        <v>0.001070456300457269</v>
      </c>
      <c r="E233" s="116">
        <v>0.4481228152989193</v>
      </c>
      <c r="F233" s="114" t="s">
        <v>2559</v>
      </c>
      <c r="G233" s="114" t="b">
        <v>0</v>
      </c>
      <c r="H233" s="114" t="b">
        <v>0</v>
      </c>
      <c r="I233" s="114" t="b">
        <v>0</v>
      </c>
      <c r="J233" s="114" t="b">
        <v>0</v>
      </c>
      <c r="K233" s="114" t="b">
        <v>0</v>
      </c>
      <c r="L233" s="114" t="b">
        <v>0</v>
      </c>
    </row>
    <row r="234" spans="1:12" ht="15">
      <c r="A234" s="114" t="s">
        <v>1764</v>
      </c>
      <c r="B234" s="114" t="s">
        <v>1785</v>
      </c>
      <c r="C234" s="114">
        <v>4</v>
      </c>
      <c r="D234" s="116">
        <v>0.000981566215118712</v>
      </c>
      <c r="E234" s="116">
        <v>1.732762394774731</v>
      </c>
      <c r="F234" s="114" t="s">
        <v>2559</v>
      </c>
      <c r="G234" s="114" t="b">
        <v>0</v>
      </c>
      <c r="H234" s="114" t="b">
        <v>0</v>
      </c>
      <c r="I234" s="114" t="b">
        <v>0</v>
      </c>
      <c r="J234" s="114" t="b">
        <v>0</v>
      </c>
      <c r="K234" s="114" t="b">
        <v>0</v>
      </c>
      <c r="L234" s="114" t="b">
        <v>0</v>
      </c>
    </row>
    <row r="235" spans="1:12" ht="15">
      <c r="A235" s="114" t="s">
        <v>1835</v>
      </c>
      <c r="B235" s="114" t="s">
        <v>1835</v>
      </c>
      <c r="C235" s="114">
        <v>4</v>
      </c>
      <c r="D235" s="116">
        <v>0.0009184976958818116</v>
      </c>
      <c r="E235" s="116">
        <v>2.407164207620013</v>
      </c>
      <c r="F235" s="114" t="s">
        <v>2559</v>
      </c>
      <c r="G235" s="114" t="b">
        <v>0</v>
      </c>
      <c r="H235" s="114" t="b">
        <v>0</v>
      </c>
      <c r="I235" s="114" t="b">
        <v>0</v>
      </c>
      <c r="J235" s="114" t="b">
        <v>0</v>
      </c>
      <c r="K235" s="114" t="b">
        <v>0</v>
      </c>
      <c r="L235" s="114" t="b">
        <v>0</v>
      </c>
    </row>
    <row r="236" spans="1:12" ht="15">
      <c r="A236" s="114" t="s">
        <v>1835</v>
      </c>
      <c r="B236" s="114" t="s">
        <v>1958</v>
      </c>
      <c r="C236" s="114">
        <v>4</v>
      </c>
      <c r="D236" s="116">
        <v>0.0009184976958818116</v>
      </c>
      <c r="E236" s="116">
        <v>2.629012957236369</v>
      </c>
      <c r="F236" s="114" t="s">
        <v>2559</v>
      </c>
      <c r="G236" s="114" t="b">
        <v>0</v>
      </c>
      <c r="H236" s="114" t="b">
        <v>0</v>
      </c>
      <c r="I236" s="114" t="b">
        <v>0</v>
      </c>
      <c r="J236" s="114" t="b">
        <v>0</v>
      </c>
      <c r="K236" s="114" t="b">
        <v>0</v>
      </c>
      <c r="L236" s="114" t="b">
        <v>0</v>
      </c>
    </row>
    <row r="237" spans="1:12" ht="15">
      <c r="A237" s="114" t="s">
        <v>1825</v>
      </c>
      <c r="B237" s="114" t="s">
        <v>1744</v>
      </c>
      <c r="C237" s="114">
        <v>4</v>
      </c>
      <c r="D237" s="116">
        <v>0.0009184976958818116</v>
      </c>
      <c r="E237" s="116">
        <v>1.3553687620620205</v>
      </c>
      <c r="F237" s="114" t="s">
        <v>2559</v>
      </c>
      <c r="G237" s="114" t="b">
        <v>0</v>
      </c>
      <c r="H237" s="114" t="b">
        <v>0</v>
      </c>
      <c r="I237" s="114" t="b">
        <v>0</v>
      </c>
      <c r="J237" s="114" t="b">
        <v>0</v>
      </c>
      <c r="K237" s="114" t="b">
        <v>0</v>
      </c>
      <c r="L237" s="114" t="b">
        <v>0</v>
      </c>
    </row>
    <row r="238" spans="1:12" ht="15">
      <c r="A238" s="114" t="s">
        <v>1744</v>
      </c>
      <c r="B238" s="114" t="s">
        <v>1740</v>
      </c>
      <c r="C238" s="114">
        <v>4</v>
      </c>
      <c r="D238" s="116">
        <v>0.0009184976958818116</v>
      </c>
      <c r="E238" s="116">
        <v>-0.11174436607140135</v>
      </c>
      <c r="F238" s="114" t="s">
        <v>2559</v>
      </c>
      <c r="G238" s="114" t="b">
        <v>0</v>
      </c>
      <c r="H238" s="114" t="b">
        <v>0</v>
      </c>
      <c r="I238" s="114" t="b">
        <v>0</v>
      </c>
      <c r="J238" s="114" t="b">
        <v>0</v>
      </c>
      <c r="K238" s="114" t="b">
        <v>0</v>
      </c>
      <c r="L238" s="114" t="b">
        <v>0</v>
      </c>
    </row>
    <row r="239" spans="1:12" ht="15">
      <c r="A239" s="114" t="s">
        <v>1773</v>
      </c>
      <c r="B239" s="114" t="s">
        <v>1869</v>
      </c>
      <c r="C239" s="114">
        <v>4</v>
      </c>
      <c r="D239" s="116">
        <v>0.0009184976958818116</v>
      </c>
      <c r="E239" s="116">
        <v>2.261036171941775</v>
      </c>
      <c r="F239" s="114" t="s">
        <v>2559</v>
      </c>
      <c r="G239" s="114" t="b">
        <v>0</v>
      </c>
      <c r="H239" s="114" t="b">
        <v>0</v>
      </c>
      <c r="I239" s="114" t="b">
        <v>0</v>
      </c>
      <c r="J239" s="114" t="b">
        <v>0</v>
      </c>
      <c r="K239" s="114" t="b">
        <v>0</v>
      </c>
      <c r="L239" s="114" t="b">
        <v>0</v>
      </c>
    </row>
    <row r="240" spans="1:12" ht="15">
      <c r="A240" s="114" t="s">
        <v>1750</v>
      </c>
      <c r="B240" s="114" t="s">
        <v>1744</v>
      </c>
      <c r="C240" s="114">
        <v>4</v>
      </c>
      <c r="D240" s="116">
        <v>0.0009184976958818116</v>
      </c>
      <c r="E240" s="116">
        <v>0.8160996005935136</v>
      </c>
      <c r="F240" s="114" t="s">
        <v>2559</v>
      </c>
      <c r="G240" s="114" t="b">
        <v>0</v>
      </c>
      <c r="H240" s="114" t="b">
        <v>0</v>
      </c>
      <c r="I240" s="114" t="b">
        <v>0</v>
      </c>
      <c r="J240" s="114" t="b">
        <v>0</v>
      </c>
      <c r="K240" s="114" t="b">
        <v>0</v>
      </c>
      <c r="L240" s="114" t="b">
        <v>0</v>
      </c>
    </row>
    <row r="241" spans="1:12" ht="15">
      <c r="A241" s="114" t="s">
        <v>1837</v>
      </c>
      <c r="B241" s="114" t="s">
        <v>1749</v>
      </c>
      <c r="C241" s="114">
        <v>4</v>
      </c>
      <c r="D241" s="116">
        <v>0.0012224149050327265</v>
      </c>
      <c r="E241" s="116">
        <v>1.6589761806138126</v>
      </c>
      <c r="F241" s="114" t="s">
        <v>2559</v>
      </c>
      <c r="G241" s="114" t="b">
        <v>0</v>
      </c>
      <c r="H241" s="114" t="b">
        <v>0</v>
      </c>
      <c r="I241" s="114" t="b">
        <v>0</v>
      </c>
      <c r="J241" s="114" t="b">
        <v>0</v>
      </c>
      <c r="K241" s="114" t="b">
        <v>0</v>
      </c>
      <c r="L241" s="114" t="b">
        <v>0</v>
      </c>
    </row>
    <row r="242" spans="1:12" ht="15">
      <c r="A242" s="114" t="s">
        <v>1992</v>
      </c>
      <c r="B242" s="114" t="s">
        <v>1837</v>
      </c>
      <c r="C242" s="114">
        <v>4</v>
      </c>
      <c r="D242" s="116">
        <v>0.0012224149050327265</v>
      </c>
      <c r="E242" s="116">
        <v>2.7081942032839943</v>
      </c>
      <c r="F242" s="114" t="s">
        <v>2559</v>
      </c>
      <c r="G242" s="114" t="b">
        <v>0</v>
      </c>
      <c r="H242" s="114" t="b">
        <v>1</v>
      </c>
      <c r="I242" s="114" t="b">
        <v>0</v>
      </c>
      <c r="J242" s="114" t="b">
        <v>0</v>
      </c>
      <c r="K242" s="114" t="b">
        <v>0</v>
      </c>
      <c r="L242" s="114" t="b">
        <v>0</v>
      </c>
    </row>
    <row r="243" spans="1:12" ht="15">
      <c r="A243" s="114" t="s">
        <v>1896</v>
      </c>
      <c r="B243" s="114" t="s">
        <v>1756</v>
      </c>
      <c r="C243" s="114">
        <v>4</v>
      </c>
      <c r="D243" s="116">
        <v>0.001070456300457269</v>
      </c>
      <c r="E243" s="116">
        <v>1.9639012201613177</v>
      </c>
      <c r="F243" s="114" t="s">
        <v>2559</v>
      </c>
      <c r="G243" s="114" t="b">
        <v>0</v>
      </c>
      <c r="H243" s="114" t="b">
        <v>0</v>
      </c>
      <c r="I243" s="114" t="b">
        <v>0</v>
      </c>
      <c r="J243" s="114" t="b">
        <v>0</v>
      </c>
      <c r="K243" s="114" t="b">
        <v>0</v>
      </c>
      <c r="L243" s="114" t="b">
        <v>0</v>
      </c>
    </row>
    <row r="244" spans="1:12" ht="15">
      <c r="A244" s="114" t="s">
        <v>1917</v>
      </c>
      <c r="B244" s="114" t="s">
        <v>1752</v>
      </c>
      <c r="C244" s="114">
        <v>4</v>
      </c>
      <c r="D244" s="116">
        <v>0.000981566215118712</v>
      </c>
      <c r="E244" s="116">
        <v>1.9111576087399766</v>
      </c>
      <c r="F244" s="114" t="s">
        <v>2559</v>
      </c>
      <c r="G244" s="114" t="b">
        <v>0</v>
      </c>
      <c r="H244" s="114" t="b">
        <v>0</v>
      </c>
      <c r="I244" s="114" t="b">
        <v>0</v>
      </c>
      <c r="J244" s="114" t="b">
        <v>0</v>
      </c>
      <c r="K244" s="114" t="b">
        <v>0</v>
      </c>
      <c r="L244" s="114" t="b">
        <v>0</v>
      </c>
    </row>
    <row r="245" spans="1:12" ht="15">
      <c r="A245" s="114" t="s">
        <v>1739</v>
      </c>
      <c r="B245" s="114" t="s">
        <v>1898</v>
      </c>
      <c r="C245" s="114">
        <v>4</v>
      </c>
      <c r="D245" s="116">
        <v>0.000981566215118712</v>
      </c>
      <c r="E245" s="116">
        <v>0.8374977452947441</v>
      </c>
      <c r="F245" s="114" t="s">
        <v>2559</v>
      </c>
      <c r="G245" s="114" t="b">
        <v>0</v>
      </c>
      <c r="H245" s="114" t="b">
        <v>0</v>
      </c>
      <c r="I245" s="114" t="b">
        <v>0</v>
      </c>
      <c r="J245" s="114" t="b">
        <v>0</v>
      </c>
      <c r="K245" s="114" t="b">
        <v>0</v>
      </c>
      <c r="L245" s="114" t="b">
        <v>0</v>
      </c>
    </row>
    <row r="246" spans="1:12" ht="15">
      <c r="A246" s="114" t="s">
        <v>1855</v>
      </c>
      <c r="B246" s="114" t="s">
        <v>1854</v>
      </c>
      <c r="C246" s="114">
        <v>4</v>
      </c>
      <c r="D246" s="116">
        <v>0.0009184976958818116</v>
      </c>
      <c r="E246" s="116">
        <v>2.666801518125769</v>
      </c>
      <c r="F246" s="114" t="s">
        <v>2559</v>
      </c>
      <c r="G246" s="114" t="b">
        <v>0</v>
      </c>
      <c r="H246" s="114" t="b">
        <v>0</v>
      </c>
      <c r="I246" s="114" t="b">
        <v>0</v>
      </c>
      <c r="J246" s="114" t="b">
        <v>0</v>
      </c>
      <c r="K246" s="114" t="b">
        <v>0</v>
      </c>
      <c r="L246" s="114" t="b">
        <v>0</v>
      </c>
    </row>
    <row r="247" spans="1:12" ht="15">
      <c r="A247" s="114" t="s">
        <v>1855</v>
      </c>
      <c r="B247" s="114" t="s">
        <v>1805</v>
      </c>
      <c r="C247" s="114">
        <v>4</v>
      </c>
      <c r="D247" s="116">
        <v>0.0009184976958818116</v>
      </c>
      <c r="E247" s="116">
        <v>2.2688615094537314</v>
      </c>
      <c r="F247" s="114" t="s">
        <v>2559</v>
      </c>
      <c r="G247" s="114" t="b">
        <v>0</v>
      </c>
      <c r="H247" s="114" t="b">
        <v>0</v>
      </c>
      <c r="I247" s="114" t="b">
        <v>0</v>
      </c>
      <c r="J247" s="114" t="b">
        <v>0</v>
      </c>
      <c r="K247" s="114" t="b">
        <v>0</v>
      </c>
      <c r="L247" s="114" t="b">
        <v>0</v>
      </c>
    </row>
    <row r="248" spans="1:12" ht="15">
      <c r="A248" s="114" t="s">
        <v>1805</v>
      </c>
      <c r="B248" s="114" t="s">
        <v>2052</v>
      </c>
      <c r="C248" s="114">
        <v>4</v>
      </c>
      <c r="D248" s="116">
        <v>0.0009184976958818116</v>
      </c>
      <c r="E248" s="116">
        <v>2.6801654796837506</v>
      </c>
      <c r="F248" s="114" t="s">
        <v>2559</v>
      </c>
      <c r="G248" s="114" t="b">
        <v>0</v>
      </c>
      <c r="H248" s="114" t="b">
        <v>0</v>
      </c>
      <c r="I248" s="114" t="b">
        <v>0</v>
      </c>
      <c r="J248" s="114" t="b">
        <v>0</v>
      </c>
      <c r="K248" s="114" t="b">
        <v>0</v>
      </c>
      <c r="L248" s="114" t="b">
        <v>0</v>
      </c>
    </row>
    <row r="249" spans="1:12" ht="15">
      <c r="A249" s="114" t="s">
        <v>2052</v>
      </c>
      <c r="B249" s="114" t="s">
        <v>2053</v>
      </c>
      <c r="C249" s="114">
        <v>4</v>
      </c>
      <c r="D249" s="116">
        <v>0.0009184976958818116</v>
      </c>
      <c r="E249" s="116">
        <v>3.2822254710117127</v>
      </c>
      <c r="F249" s="114" t="s">
        <v>2559</v>
      </c>
      <c r="G249" s="114" t="b">
        <v>0</v>
      </c>
      <c r="H249" s="114" t="b">
        <v>0</v>
      </c>
      <c r="I249" s="114" t="b">
        <v>0</v>
      </c>
      <c r="J249" s="114" t="b">
        <v>0</v>
      </c>
      <c r="K249" s="114" t="b">
        <v>0</v>
      </c>
      <c r="L249" s="114" t="b">
        <v>0</v>
      </c>
    </row>
    <row r="250" spans="1:12" ht="15">
      <c r="A250" s="114" t="s">
        <v>2053</v>
      </c>
      <c r="B250" s="114" t="s">
        <v>2054</v>
      </c>
      <c r="C250" s="114">
        <v>4</v>
      </c>
      <c r="D250" s="116">
        <v>0.0009184976958818116</v>
      </c>
      <c r="E250" s="116">
        <v>3.2822254710117127</v>
      </c>
      <c r="F250" s="114" t="s">
        <v>2559</v>
      </c>
      <c r="G250" s="114" t="b">
        <v>0</v>
      </c>
      <c r="H250" s="114" t="b">
        <v>0</v>
      </c>
      <c r="I250" s="114" t="b">
        <v>0</v>
      </c>
      <c r="J250" s="114" t="b">
        <v>0</v>
      </c>
      <c r="K250" s="114" t="b">
        <v>0</v>
      </c>
      <c r="L250" s="114" t="b">
        <v>0</v>
      </c>
    </row>
    <row r="251" spans="1:12" ht="15">
      <c r="A251" s="114" t="s">
        <v>2054</v>
      </c>
      <c r="B251" s="114" t="s">
        <v>2055</v>
      </c>
      <c r="C251" s="114">
        <v>4</v>
      </c>
      <c r="D251" s="116">
        <v>0.0009184976958818116</v>
      </c>
      <c r="E251" s="116">
        <v>3.2822254710117127</v>
      </c>
      <c r="F251" s="114" t="s">
        <v>2559</v>
      </c>
      <c r="G251" s="114" t="b">
        <v>0</v>
      </c>
      <c r="H251" s="114" t="b">
        <v>0</v>
      </c>
      <c r="I251" s="114" t="b">
        <v>0</v>
      </c>
      <c r="J251" s="114" t="b">
        <v>0</v>
      </c>
      <c r="K251" s="114" t="b">
        <v>0</v>
      </c>
      <c r="L251" s="114" t="b">
        <v>0</v>
      </c>
    </row>
    <row r="252" spans="1:12" ht="15">
      <c r="A252" s="114" t="s">
        <v>2056</v>
      </c>
      <c r="B252" s="114" t="s">
        <v>2057</v>
      </c>
      <c r="C252" s="114">
        <v>4</v>
      </c>
      <c r="D252" s="116">
        <v>0.0009184976958818116</v>
      </c>
      <c r="E252" s="116">
        <v>3.2822254710117127</v>
      </c>
      <c r="F252" s="114" t="s">
        <v>2559</v>
      </c>
      <c r="G252" s="114" t="b">
        <v>0</v>
      </c>
      <c r="H252" s="114" t="b">
        <v>0</v>
      </c>
      <c r="I252" s="114" t="b">
        <v>0</v>
      </c>
      <c r="J252" s="114" t="b">
        <v>0</v>
      </c>
      <c r="K252" s="114" t="b">
        <v>0</v>
      </c>
      <c r="L252" s="114" t="b">
        <v>0</v>
      </c>
    </row>
    <row r="253" spans="1:12" ht="15">
      <c r="A253" s="114" t="s">
        <v>2057</v>
      </c>
      <c r="B253" s="114" t="s">
        <v>2058</v>
      </c>
      <c r="C253" s="114">
        <v>4</v>
      </c>
      <c r="D253" s="116">
        <v>0.0009184976958818116</v>
      </c>
      <c r="E253" s="116">
        <v>3.2822254710117127</v>
      </c>
      <c r="F253" s="114" t="s">
        <v>2559</v>
      </c>
      <c r="G253" s="114" t="b">
        <v>0</v>
      </c>
      <c r="H253" s="114" t="b">
        <v>0</v>
      </c>
      <c r="I253" s="114" t="b">
        <v>0</v>
      </c>
      <c r="J253" s="114" t="b">
        <v>0</v>
      </c>
      <c r="K253" s="114" t="b">
        <v>0</v>
      </c>
      <c r="L253" s="114" t="b">
        <v>0</v>
      </c>
    </row>
    <row r="254" spans="1:12" ht="15">
      <c r="A254" s="114" t="s">
        <v>2058</v>
      </c>
      <c r="B254" s="114" t="s">
        <v>2059</v>
      </c>
      <c r="C254" s="114">
        <v>4</v>
      </c>
      <c r="D254" s="116">
        <v>0.0009184976958818116</v>
      </c>
      <c r="E254" s="116">
        <v>3.2822254710117127</v>
      </c>
      <c r="F254" s="114" t="s">
        <v>2559</v>
      </c>
      <c r="G254" s="114" t="b">
        <v>0</v>
      </c>
      <c r="H254" s="114" t="b">
        <v>0</v>
      </c>
      <c r="I254" s="114" t="b">
        <v>0</v>
      </c>
      <c r="J254" s="114" t="b">
        <v>0</v>
      </c>
      <c r="K254" s="114" t="b">
        <v>0</v>
      </c>
      <c r="L254" s="114" t="b">
        <v>0</v>
      </c>
    </row>
    <row r="255" spans="1:12" ht="15">
      <c r="A255" s="114" t="s">
        <v>2059</v>
      </c>
      <c r="B255" s="114" t="s">
        <v>2060</v>
      </c>
      <c r="C255" s="114">
        <v>4</v>
      </c>
      <c r="D255" s="116">
        <v>0.0009184976958818116</v>
      </c>
      <c r="E255" s="116">
        <v>3.2822254710117127</v>
      </c>
      <c r="F255" s="114" t="s">
        <v>2559</v>
      </c>
      <c r="G255" s="114" t="b">
        <v>0</v>
      </c>
      <c r="H255" s="114" t="b">
        <v>0</v>
      </c>
      <c r="I255" s="114" t="b">
        <v>0</v>
      </c>
      <c r="J255" s="114" t="b">
        <v>0</v>
      </c>
      <c r="K255" s="114" t="b">
        <v>0</v>
      </c>
      <c r="L255" s="114" t="b">
        <v>0</v>
      </c>
    </row>
    <row r="256" spans="1:12" ht="15">
      <c r="A256" s="114" t="s">
        <v>2060</v>
      </c>
      <c r="B256" s="114" t="s">
        <v>2061</v>
      </c>
      <c r="C256" s="114">
        <v>4</v>
      </c>
      <c r="D256" s="116">
        <v>0.0009184976958818116</v>
      </c>
      <c r="E256" s="116">
        <v>3.2822254710117127</v>
      </c>
      <c r="F256" s="114" t="s">
        <v>2559</v>
      </c>
      <c r="G256" s="114" t="b">
        <v>0</v>
      </c>
      <c r="H256" s="114" t="b">
        <v>0</v>
      </c>
      <c r="I256" s="114" t="b">
        <v>0</v>
      </c>
      <c r="J256" s="114" t="b">
        <v>0</v>
      </c>
      <c r="K256" s="114" t="b">
        <v>0</v>
      </c>
      <c r="L256" s="114" t="b">
        <v>0</v>
      </c>
    </row>
    <row r="257" spans="1:12" ht="15">
      <c r="A257" s="114" t="s">
        <v>2000</v>
      </c>
      <c r="B257" s="114" t="s">
        <v>2062</v>
      </c>
      <c r="C257" s="114">
        <v>4</v>
      </c>
      <c r="D257" s="116">
        <v>0.0009184976958818116</v>
      </c>
      <c r="E257" s="116">
        <v>3.1853154580036565</v>
      </c>
      <c r="F257" s="114" t="s">
        <v>2559</v>
      </c>
      <c r="G257" s="114" t="b">
        <v>0</v>
      </c>
      <c r="H257" s="114" t="b">
        <v>0</v>
      </c>
      <c r="I257" s="114" t="b">
        <v>0</v>
      </c>
      <c r="J257" s="114" t="b">
        <v>0</v>
      </c>
      <c r="K257" s="114" t="b">
        <v>0</v>
      </c>
      <c r="L257" s="114" t="b">
        <v>0</v>
      </c>
    </row>
    <row r="258" spans="1:12" ht="15">
      <c r="A258" s="114" t="s">
        <v>1915</v>
      </c>
      <c r="B258" s="114" t="s">
        <v>1915</v>
      </c>
      <c r="C258" s="114">
        <v>4</v>
      </c>
      <c r="D258" s="116">
        <v>0.001070456300457269</v>
      </c>
      <c r="E258" s="116">
        <v>2.6801654796837506</v>
      </c>
      <c r="F258" s="114" t="s">
        <v>2559</v>
      </c>
      <c r="G258" s="114" t="b">
        <v>0</v>
      </c>
      <c r="H258" s="114" t="b">
        <v>0</v>
      </c>
      <c r="I258" s="114" t="b">
        <v>0</v>
      </c>
      <c r="J258" s="114" t="b">
        <v>0</v>
      </c>
      <c r="K258" s="114" t="b">
        <v>0</v>
      </c>
      <c r="L258" s="114" t="b">
        <v>0</v>
      </c>
    </row>
    <row r="259" spans="1:12" ht="15">
      <c r="A259" s="114" t="s">
        <v>2069</v>
      </c>
      <c r="B259" s="114" t="s">
        <v>2070</v>
      </c>
      <c r="C259" s="114">
        <v>4</v>
      </c>
      <c r="D259" s="116">
        <v>0.0009184976958818116</v>
      </c>
      <c r="E259" s="116">
        <v>3.2822254710117127</v>
      </c>
      <c r="F259" s="114" t="s">
        <v>2559</v>
      </c>
      <c r="G259" s="114" t="b">
        <v>0</v>
      </c>
      <c r="H259" s="114" t="b">
        <v>0</v>
      </c>
      <c r="I259" s="114" t="b">
        <v>0</v>
      </c>
      <c r="J259" s="114" t="b">
        <v>0</v>
      </c>
      <c r="K259" s="114" t="b">
        <v>0</v>
      </c>
      <c r="L259" s="114" t="b">
        <v>0</v>
      </c>
    </row>
    <row r="260" spans="1:12" ht="15">
      <c r="A260" s="114" t="s">
        <v>2070</v>
      </c>
      <c r="B260" s="114" t="s">
        <v>2071</v>
      </c>
      <c r="C260" s="114">
        <v>4</v>
      </c>
      <c r="D260" s="116">
        <v>0.0009184976958818116</v>
      </c>
      <c r="E260" s="116">
        <v>3.2822254710117127</v>
      </c>
      <c r="F260" s="114" t="s">
        <v>2559</v>
      </c>
      <c r="G260" s="114" t="b">
        <v>0</v>
      </c>
      <c r="H260" s="114" t="b">
        <v>0</v>
      </c>
      <c r="I260" s="114" t="b">
        <v>0</v>
      </c>
      <c r="J260" s="114" t="b">
        <v>0</v>
      </c>
      <c r="K260" s="114" t="b">
        <v>0</v>
      </c>
      <c r="L260" s="114" t="b">
        <v>0</v>
      </c>
    </row>
    <row r="261" spans="1:12" ht="15">
      <c r="A261" s="114" t="s">
        <v>2071</v>
      </c>
      <c r="B261" s="114" t="s">
        <v>1747</v>
      </c>
      <c r="C261" s="114">
        <v>4</v>
      </c>
      <c r="D261" s="116">
        <v>0.0009184976958818116</v>
      </c>
      <c r="E261" s="116">
        <v>1.9811954753477317</v>
      </c>
      <c r="F261" s="114" t="s">
        <v>2559</v>
      </c>
      <c r="G261" s="114" t="b">
        <v>0</v>
      </c>
      <c r="H261" s="114" t="b">
        <v>0</v>
      </c>
      <c r="I261" s="114" t="b">
        <v>0</v>
      </c>
      <c r="J261" s="114" t="b">
        <v>0</v>
      </c>
      <c r="K261" s="114" t="b">
        <v>0</v>
      </c>
      <c r="L261" s="114" t="b">
        <v>0</v>
      </c>
    </row>
    <row r="262" spans="1:12" ht="15">
      <c r="A262" s="114" t="s">
        <v>1747</v>
      </c>
      <c r="B262" s="114" t="s">
        <v>1800</v>
      </c>
      <c r="C262" s="114">
        <v>4</v>
      </c>
      <c r="D262" s="116">
        <v>0.0009184976958818116</v>
      </c>
      <c r="E262" s="116">
        <v>1.3638019295988832</v>
      </c>
      <c r="F262" s="114" t="s">
        <v>2559</v>
      </c>
      <c r="G262" s="114" t="b">
        <v>0</v>
      </c>
      <c r="H262" s="114" t="b">
        <v>0</v>
      </c>
      <c r="I262" s="114" t="b">
        <v>0</v>
      </c>
      <c r="J262" s="114" t="b">
        <v>0</v>
      </c>
      <c r="K262" s="114" t="b">
        <v>0</v>
      </c>
      <c r="L262" s="114" t="b">
        <v>0</v>
      </c>
    </row>
    <row r="263" spans="1:12" ht="15">
      <c r="A263" s="114" t="s">
        <v>1800</v>
      </c>
      <c r="B263" s="114" t="s">
        <v>1878</v>
      </c>
      <c r="C263" s="114">
        <v>4</v>
      </c>
      <c r="D263" s="116">
        <v>0.0009184976958818116</v>
      </c>
      <c r="E263" s="116">
        <v>2.2558965322893636</v>
      </c>
      <c r="F263" s="114" t="s">
        <v>2559</v>
      </c>
      <c r="G263" s="114" t="b">
        <v>0</v>
      </c>
      <c r="H263" s="114" t="b">
        <v>0</v>
      </c>
      <c r="I263" s="114" t="b">
        <v>0</v>
      </c>
      <c r="J263" s="114" t="b">
        <v>0</v>
      </c>
      <c r="K263" s="114" t="b">
        <v>0</v>
      </c>
      <c r="L263" s="114" t="b">
        <v>0</v>
      </c>
    </row>
    <row r="264" spans="1:12" ht="15">
      <c r="A264" s="114" t="s">
        <v>1878</v>
      </c>
      <c r="B264" s="114" t="s">
        <v>1821</v>
      </c>
      <c r="C264" s="114">
        <v>4</v>
      </c>
      <c r="D264" s="116">
        <v>0.0009184976958818116</v>
      </c>
      <c r="E264" s="116">
        <v>2.407164207620013</v>
      </c>
      <c r="F264" s="114" t="s">
        <v>2559</v>
      </c>
      <c r="G264" s="114" t="b">
        <v>0</v>
      </c>
      <c r="H264" s="114" t="b">
        <v>0</v>
      </c>
      <c r="I264" s="114" t="b">
        <v>0</v>
      </c>
      <c r="J264" s="114" t="b">
        <v>0</v>
      </c>
      <c r="K264" s="114" t="b">
        <v>0</v>
      </c>
      <c r="L264" s="114" t="b">
        <v>0</v>
      </c>
    </row>
    <row r="265" spans="1:12" ht="15">
      <c r="A265" s="114" t="s">
        <v>1821</v>
      </c>
      <c r="B265" s="114" t="s">
        <v>2004</v>
      </c>
      <c r="C265" s="114">
        <v>4</v>
      </c>
      <c r="D265" s="116">
        <v>0.0009184976958818116</v>
      </c>
      <c r="E265" s="116">
        <v>2.673432097024782</v>
      </c>
      <c r="F265" s="114" t="s">
        <v>2559</v>
      </c>
      <c r="G265" s="114" t="b">
        <v>0</v>
      </c>
      <c r="H265" s="114" t="b">
        <v>0</v>
      </c>
      <c r="I265" s="114" t="b">
        <v>0</v>
      </c>
      <c r="J265" s="114" t="b">
        <v>0</v>
      </c>
      <c r="K265" s="114" t="b">
        <v>0</v>
      </c>
      <c r="L265" s="114" t="b">
        <v>0</v>
      </c>
    </row>
    <row r="266" spans="1:12" ht="15">
      <c r="A266" s="114" t="s">
        <v>2004</v>
      </c>
      <c r="B266" s="114" t="s">
        <v>1793</v>
      </c>
      <c r="C266" s="114">
        <v>4</v>
      </c>
      <c r="D266" s="116">
        <v>0.0009184976958818116</v>
      </c>
      <c r="E266" s="116">
        <v>2.556926527953345</v>
      </c>
      <c r="F266" s="114" t="s">
        <v>2559</v>
      </c>
      <c r="G266" s="114" t="b">
        <v>0</v>
      </c>
      <c r="H266" s="114" t="b">
        <v>0</v>
      </c>
      <c r="I266" s="114" t="b">
        <v>0</v>
      </c>
      <c r="J266" s="114" t="b">
        <v>0</v>
      </c>
      <c r="K266" s="114" t="b">
        <v>0</v>
      </c>
      <c r="L266" s="114" t="b">
        <v>0</v>
      </c>
    </row>
    <row r="267" spans="1:12" ht="15">
      <c r="A267" s="114" t="s">
        <v>1793</v>
      </c>
      <c r="B267" s="114" t="s">
        <v>1817</v>
      </c>
      <c r="C267" s="114">
        <v>4</v>
      </c>
      <c r="D267" s="116">
        <v>0.0009184976958818116</v>
      </c>
      <c r="E267" s="116">
        <v>2.19631084230512</v>
      </c>
      <c r="F267" s="114" t="s">
        <v>2559</v>
      </c>
      <c r="G267" s="114" t="b">
        <v>0</v>
      </c>
      <c r="H267" s="114" t="b">
        <v>0</v>
      </c>
      <c r="I267" s="114" t="b">
        <v>0</v>
      </c>
      <c r="J267" s="114" t="b">
        <v>0</v>
      </c>
      <c r="K267" s="114" t="b">
        <v>0</v>
      </c>
      <c r="L267" s="114" t="b">
        <v>0</v>
      </c>
    </row>
    <row r="268" spans="1:12" ht="15">
      <c r="A268" s="114" t="s">
        <v>1793</v>
      </c>
      <c r="B268" s="114" t="s">
        <v>2072</v>
      </c>
      <c r="C268" s="114">
        <v>4</v>
      </c>
      <c r="D268" s="116">
        <v>0.0009184976958818116</v>
      </c>
      <c r="E268" s="116">
        <v>2.7081942032839943</v>
      </c>
      <c r="F268" s="114" t="s">
        <v>2559</v>
      </c>
      <c r="G268" s="114" t="b">
        <v>0</v>
      </c>
      <c r="H268" s="114" t="b">
        <v>0</v>
      </c>
      <c r="I268" s="114" t="b">
        <v>0</v>
      </c>
      <c r="J268" s="114" t="b">
        <v>0</v>
      </c>
      <c r="K268" s="114" t="b">
        <v>0</v>
      </c>
      <c r="L268" s="114" t="b">
        <v>0</v>
      </c>
    </row>
    <row r="269" spans="1:12" ht="15">
      <c r="A269" s="114" t="s">
        <v>2072</v>
      </c>
      <c r="B269" s="114" t="s">
        <v>2073</v>
      </c>
      <c r="C269" s="114">
        <v>4</v>
      </c>
      <c r="D269" s="116">
        <v>0.0009184976958818116</v>
      </c>
      <c r="E269" s="116">
        <v>3.2822254710117127</v>
      </c>
      <c r="F269" s="114" t="s">
        <v>2559</v>
      </c>
      <c r="G269" s="114" t="b">
        <v>0</v>
      </c>
      <c r="H269" s="114" t="b">
        <v>0</v>
      </c>
      <c r="I269" s="114" t="b">
        <v>0</v>
      </c>
      <c r="J269" s="114" t="b">
        <v>0</v>
      </c>
      <c r="K269" s="114" t="b">
        <v>0</v>
      </c>
      <c r="L269" s="114" t="b">
        <v>0</v>
      </c>
    </row>
    <row r="270" spans="1:12" ht="15">
      <c r="A270" s="114" t="s">
        <v>2073</v>
      </c>
      <c r="B270" s="114" t="s">
        <v>1838</v>
      </c>
      <c r="C270" s="114">
        <v>4</v>
      </c>
      <c r="D270" s="116">
        <v>0.0009184976958818116</v>
      </c>
      <c r="E270" s="116">
        <v>2.8051042162920505</v>
      </c>
      <c r="F270" s="114" t="s">
        <v>2559</v>
      </c>
      <c r="G270" s="114" t="b">
        <v>0</v>
      </c>
      <c r="H270" s="114" t="b">
        <v>0</v>
      </c>
      <c r="I270" s="114" t="b">
        <v>0</v>
      </c>
      <c r="J270" s="114" t="b">
        <v>0</v>
      </c>
      <c r="K270" s="114" t="b">
        <v>0</v>
      </c>
      <c r="L270" s="114" t="b">
        <v>0</v>
      </c>
    </row>
    <row r="271" spans="1:12" ht="15">
      <c r="A271" s="114" t="s">
        <v>1838</v>
      </c>
      <c r="B271" s="114" t="s">
        <v>1878</v>
      </c>
      <c r="C271" s="114">
        <v>4</v>
      </c>
      <c r="D271" s="116">
        <v>0.0009184976958818116</v>
      </c>
      <c r="E271" s="116">
        <v>2.407164207620013</v>
      </c>
      <c r="F271" s="114" t="s">
        <v>2559</v>
      </c>
      <c r="G271" s="114" t="b">
        <v>0</v>
      </c>
      <c r="H271" s="114" t="b">
        <v>0</v>
      </c>
      <c r="I271" s="114" t="b">
        <v>0</v>
      </c>
      <c r="J271" s="114" t="b">
        <v>0</v>
      </c>
      <c r="K271" s="114" t="b">
        <v>0</v>
      </c>
      <c r="L271" s="114" t="b">
        <v>0</v>
      </c>
    </row>
    <row r="272" spans="1:12" ht="15">
      <c r="A272" s="114" t="s">
        <v>1878</v>
      </c>
      <c r="B272" s="114" t="s">
        <v>1838</v>
      </c>
      <c r="C272" s="114">
        <v>4</v>
      </c>
      <c r="D272" s="116">
        <v>0.0009184976958818116</v>
      </c>
      <c r="E272" s="116">
        <v>2.407164207620013</v>
      </c>
      <c r="F272" s="114" t="s">
        <v>2559</v>
      </c>
      <c r="G272" s="114" t="b">
        <v>0</v>
      </c>
      <c r="H272" s="114" t="b">
        <v>0</v>
      </c>
      <c r="I272" s="114" t="b">
        <v>0</v>
      </c>
      <c r="J272" s="114" t="b">
        <v>0</v>
      </c>
      <c r="K272" s="114" t="b">
        <v>0</v>
      </c>
      <c r="L272" s="114" t="b">
        <v>0</v>
      </c>
    </row>
    <row r="273" spans="1:12" ht="15">
      <c r="A273" s="114" t="s">
        <v>1838</v>
      </c>
      <c r="B273" s="114" t="s">
        <v>1994</v>
      </c>
      <c r="C273" s="114">
        <v>4</v>
      </c>
      <c r="D273" s="116">
        <v>0.0009184976958818116</v>
      </c>
      <c r="E273" s="116">
        <v>2.7081942032839943</v>
      </c>
      <c r="F273" s="114" t="s">
        <v>2559</v>
      </c>
      <c r="G273" s="114" t="b">
        <v>0</v>
      </c>
      <c r="H273" s="114" t="b">
        <v>0</v>
      </c>
      <c r="I273" s="114" t="b">
        <v>0</v>
      </c>
      <c r="J273" s="114" t="b">
        <v>0</v>
      </c>
      <c r="K273" s="114" t="b">
        <v>0</v>
      </c>
      <c r="L273" s="114" t="b">
        <v>0</v>
      </c>
    </row>
    <row r="274" spans="1:12" ht="15">
      <c r="A274" s="114" t="s">
        <v>1739</v>
      </c>
      <c r="B274" s="114" t="s">
        <v>1910</v>
      </c>
      <c r="C274" s="114">
        <v>4</v>
      </c>
      <c r="D274" s="116">
        <v>0.0009184976958818116</v>
      </c>
      <c r="E274" s="116">
        <v>0.8886502677421254</v>
      </c>
      <c r="F274" s="114" t="s">
        <v>2559</v>
      </c>
      <c r="G274" s="114" t="b">
        <v>0</v>
      </c>
      <c r="H274" s="114" t="b">
        <v>0</v>
      </c>
      <c r="I274" s="114" t="b">
        <v>0</v>
      </c>
      <c r="J274" s="114" t="b">
        <v>1</v>
      </c>
      <c r="K274" s="114" t="b">
        <v>0</v>
      </c>
      <c r="L274" s="114" t="b">
        <v>0</v>
      </c>
    </row>
    <row r="275" spans="1:12" ht="15">
      <c r="A275" s="114" t="s">
        <v>1760</v>
      </c>
      <c r="B275" s="114" t="s">
        <v>1741</v>
      </c>
      <c r="C275" s="114">
        <v>4</v>
      </c>
      <c r="D275" s="116">
        <v>0.000981566215118712</v>
      </c>
      <c r="E275" s="116">
        <v>0.6023435288988505</v>
      </c>
      <c r="F275" s="114" t="s">
        <v>2559</v>
      </c>
      <c r="G275" s="114" t="b">
        <v>0</v>
      </c>
      <c r="H275" s="114" t="b">
        <v>0</v>
      </c>
      <c r="I275" s="114" t="b">
        <v>0</v>
      </c>
      <c r="J275" s="114" t="b">
        <v>0</v>
      </c>
      <c r="K275" s="114" t="b">
        <v>0</v>
      </c>
      <c r="L275" s="114" t="b">
        <v>0</v>
      </c>
    </row>
    <row r="276" spans="1:12" ht="15">
      <c r="A276" s="114" t="s">
        <v>1758</v>
      </c>
      <c r="B276" s="114" t="s">
        <v>1918</v>
      </c>
      <c r="C276" s="114">
        <v>4</v>
      </c>
      <c r="D276" s="116">
        <v>0.0009184976958818116</v>
      </c>
      <c r="E276" s="116">
        <v>2.078105488355788</v>
      </c>
      <c r="F276" s="114" t="s">
        <v>2559</v>
      </c>
      <c r="G276" s="114" t="b">
        <v>0</v>
      </c>
      <c r="H276" s="114" t="b">
        <v>0</v>
      </c>
      <c r="I276" s="114" t="b">
        <v>0</v>
      </c>
      <c r="J276" s="114" t="b">
        <v>0</v>
      </c>
      <c r="K276" s="114" t="b">
        <v>0</v>
      </c>
      <c r="L276" s="114" t="b">
        <v>0</v>
      </c>
    </row>
    <row r="277" spans="1:12" ht="15">
      <c r="A277" s="114" t="s">
        <v>1827</v>
      </c>
      <c r="B277" s="114" t="s">
        <v>1827</v>
      </c>
      <c r="C277" s="114">
        <v>4</v>
      </c>
      <c r="D277" s="116">
        <v>0.0009184976958818116</v>
      </c>
      <c r="E277" s="116">
        <v>2.293220855313176</v>
      </c>
      <c r="F277" s="114" t="s">
        <v>2559</v>
      </c>
      <c r="G277" s="114" t="b">
        <v>0</v>
      </c>
      <c r="H277" s="114" t="b">
        <v>0</v>
      </c>
      <c r="I277" s="114" t="b">
        <v>0</v>
      </c>
      <c r="J277" s="114" t="b">
        <v>0</v>
      </c>
      <c r="K277" s="114" t="b">
        <v>0</v>
      </c>
      <c r="L277" s="114" t="b">
        <v>0</v>
      </c>
    </row>
    <row r="278" spans="1:12" ht="15">
      <c r="A278" s="114" t="s">
        <v>1755</v>
      </c>
      <c r="B278" s="114" t="s">
        <v>1762</v>
      </c>
      <c r="C278" s="114">
        <v>4</v>
      </c>
      <c r="D278" s="116">
        <v>0.0009184976958818116</v>
      </c>
      <c r="E278" s="116">
        <v>1.5448340210332347</v>
      </c>
      <c r="F278" s="114" t="s">
        <v>2559</v>
      </c>
      <c r="G278" s="114" t="b">
        <v>0</v>
      </c>
      <c r="H278" s="114" t="b">
        <v>0</v>
      </c>
      <c r="I278" s="114" t="b">
        <v>0</v>
      </c>
      <c r="J278" s="114" t="b">
        <v>0</v>
      </c>
      <c r="K278" s="114" t="b">
        <v>0</v>
      </c>
      <c r="L278" s="114" t="b">
        <v>0</v>
      </c>
    </row>
    <row r="279" spans="1:12" ht="15">
      <c r="A279" s="114" t="s">
        <v>1784</v>
      </c>
      <c r="B279" s="114" t="s">
        <v>1771</v>
      </c>
      <c r="C279" s="114">
        <v>4</v>
      </c>
      <c r="D279" s="116">
        <v>0.0009184976958818116</v>
      </c>
      <c r="E279" s="116">
        <v>1.7839149172221125</v>
      </c>
      <c r="F279" s="114" t="s">
        <v>2559</v>
      </c>
      <c r="G279" s="114" t="b">
        <v>0</v>
      </c>
      <c r="H279" s="114" t="b">
        <v>0</v>
      </c>
      <c r="I279" s="114" t="b">
        <v>0</v>
      </c>
      <c r="J279" s="114" t="b">
        <v>0</v>
      </c>
      <c r="K279" s="114" t="b">
        <v>1</v>
      </c>
      <c r="L279" s="114" t="b">
        <v>0</v>
      </c>
    </row>
    <row r="280" spans="1:12" ht="15">
      <c r="A280" s="114" t="s">
        <v>1771</v>
      </c>
      <c r="B280" s="114" t="s">
        <v>1780</v>
      </c>
      <c r="C280" s="114">
        <v>4</v>
      </c>
      <c r="D280" s="116">
        <v>0.0009184976958818116</v>
      </c>
      <c r="E280" s="116">
        <v>1.7637115311338256</v>
      </c>
      <c r="F280" s="114" t="s">
        <v>2559</v>
      </c>
      <c r="G280" s="114" t="b">
        <v>0</v>
      </c>
      <c r="H280" s="114" t="b">
        <v>1</v>
      </c>
      <c r="I280" s="114" t="b">
        <v>0</v>
      </c>
      <c r="J280" s="114" t="b">
        <v>0</v>
      </c>
      <c r="K280" s="114" t="b">
        <v>0</v>
      </c>
      <c r="L280" s="114" t="b">
        <v>0</v>
      </c>
    </row>
    <row r="281" spans="1:12" ht="15">
      <c r="A281" s="114" t="s">
        <v>1781</v>
      </c>
      <c r="B281" s="114" t="s">
        <v>1746</v>
      </c>
      <c r="C281" s="114">
        <v>4</v>
      </c>
      <c r="D281" s="116">
        <v>0.0009184976958818116</v>
      </c>
      <c r="E281" s="116">
        <v>1.2094243216018639</v>
      </c>
      <c r="F281" s="114" t="s">
        <v>2559</v>
      </c>
      <c r="G281" s="114" t="b">
        <v>0</v>
      </c>
      <c r="H281" s="114" t="b">
        <v>0</v>
      </c>
      <c r="I281" s="114" t="b">
        <v>0</v>
      </c>
      <c r="J281" s="114" t="b">
        <v>0</v>
      </c>
      <c r="K281" s="114" t="b">
        <v>1</v>
      </c>
      <c r="L281" s="114" t="b">
        <v>0</v>
      </c>
    </row>
    <row r="282" spans="1:12" ht="15">
      <c r="A282" s="114" t="s">
        <v>1746</v>
      </c>
      <c r="B282" s="114" t="s">
        <v>1939</v>
      </c>
      <c r="C282" s="114">
        <v>4</v>
      </c>
      <c r="D282" s="116">
        <v>0.0009184976958818116</v>
      </c>
      <c r="E282" s="116">
        <v>1.7118284879390882</v>
      </c>
      <c r="F282" s="114" t="s">
        <v>2559</v>
      </c>
      <c r="G282" s="114" t="b">
        <v>0</v>
      </c>
      <c r="H282" s="114" t="b">
        <v>1</v>
      </c>
      <c r="I282" s="114" t="b">
        <v>0</v>
      </c>
      <c r="J282" s="114" t="b">
        <v>1</v>
      </c>
      <c r="K282" s="114" t="b">
        <v>0</v>
      </c>
      <c r="L282" s="114" t="b">
        <v>0</v>
      </c>
    </row>
    <row r="283" spans="1:12" ht="15">
      <c r="A283" s="114" t="s">
        <v>1804</v>
      </c>
      <c r="B283" s="114" t="s">
        <v>1741</v>
      </c>
      <c r="C283" s="114">
        <v>4</v>
      </c>
      <c r="D283" s="116">
        <v>0.0009184976958818116</v>
      </c>
      <c r="E283" s="116">
        <v>0.8606215441418819</v>
      </c>
      <c r="F283" s="114" t="s">
        <v>2559</v>
      </c>
      <c r="G283" s="114" t="b">
        <v>0</v>
      </c>
      <c r="H283" s="114" t="b">
        <v>0</v>
      </c>
      <c r="I283" s="114" t="b">
        <v>0</v>
      </c>
      <c r="J283" s="114" t="b">
        <v>0</v>
      </c>
      <c r="K283" s="114" t="b">
        <v>0</v>
      </c>
      <c r="L283" s="114" t="b">
        <v>0</v>
      </c>
    </row>
    <row r="284" spans="1:12" ht="15">
      <c r="A284" s="114" t="s">
        <v>1742</v>
      </c>
      <c r="B284" s="114" t="s">
        <v>1902</v>
      </c>
      <c r="C284" s="114">
        <v>4</v>
      </c>
      <c r="D284" s="116">
        <v>0.0009184976958818116</v>
      </c>
      <c r="E284" s="116">
        <v>1.16288708681817</v>
      </c>
      <c r="F284" s="114" t="s">
        <v>2559</v>
      </c>
      <c r="G284" s="114" t="b">
        <v>0</v>
      </c>
      <c r="H284" s="114" t="b">
        <v>0</v>
      </c>
      <c r="I284" s="114" t="b">
        <v>0</v>
      </c>
      <c r="J284" s="114" t="b">
        <v>0</v>
      </c>
      <c r="K284" s="114" t="b">
        <v>0</v>
      </c>
      <c r="L284" s="114" t="b">
        <v>0</v>
      </c>
    </row>
    <row r="285" spans="1:12" ht="15">
      <c r="A285" s="114" t="s">
        <v>1859</v>
      </c>
      <c r="B285" s="114" t="s">
        <v>1853</v>
      </c>
      <c r="C285" s="114">
        <v>4</v>
      </c>
      <c r="D285" s="116">
        <v>0.001070456300457269</v>
      </c>
      <c r="E285" s="116">
        <v>2.490710259070088</v>
      </c>
      <c r="F285" s="114" t="s">
        <v>2559</v>
      </c>
      <c r="G285" s="114" t="b">
        <v>0</v>
      </c>
      <c r="H285" s="114" t="b">
        <v>0</v>
      </c>
      <c r="I285" s="114" t="b">
        <v>0</v>
      </c>
      <c r="J285" s="114" t="b">
        <v>0</v>
      </c>
      <c r="K285" s="114" t="b">
        <v>0</v>
      </c>
      <c r="L285" s="114" t="b">
        <v>0</v>
      </c>
    </row>
    <row r="286" spans="1:12" ht="15">
      <c r="A286" s="114" t="s">
        <v>1745</v>
      </c>
      <c r="B286" s="114" t="s">
        <v>1739</v>
      </c>
      <c r="C286" s="114">
        <v>4</v>
      </c>
      <c r="D286" s="116">
        <v>0.0009184976958818116</v>
      </c>
      <c r="E286" s="116">
        <v>-0.15094409401053677</v>
      </c>
      <c r="F286" s="114" t="s">
        <v>2559</v>
      </c>
      <c r="G286" s="114" t="b">
        <v>0</v>
      </c>
      <c r="H286" s="114" t="b">
        <v>0</v>
      </c>
      <c r="I286" s="114" t="b">
        <v>0</v>
      </c>
      <c r="J286" s="114" t="b">
        <v>0</v>
      </c>
      <c r="K286" s="114" t="b">
        <v>0</v>
      </c>
      <c r="L286" s="114" t="b">
        <v>0</v>
      </c>
    </row>
    <row r="287" spans="1:12" ht="15">
      <c r="A287" s="114" t="s">
        <v>1751</v>
      </c>
      <c r="B287" s="114" t="s">
        <v>1741</v>
      </c>
      <c r="C287" s="114">
        <v>4</v>
      </c>
      <c r="D287" s="116">
        <v>0.0009184976958818116</v>
      </c>
      <c r="E287" s="116">
        <v>0.3926436688620891</v>
      </c>
      <c r="F287" s="114" t="s">
        <v>2559</v>
      </c>
      <c r="G287" s="114" t="b">
        <v>0</v>
      </c>
      <c r="H287" s="114" t="b">
        <v>1</v>
      </c>
      <c r="I287" s="114" t="b">
        <v>0</v>
      </c>
      <c r="J287" s="114" t="b">
        <v>0</v>
      </c>
      <c r="K287" s="114" t="b">
        <v>0</v>
      </c>
      <c r="L287" s="114" t="b">
        <v>0</v>
      </c>
    </row>
    <row r="288" spans="1:12" ht="15">
      <c r="A288" s="114" t="s">
        <v>1767</v>
      </c>
      <c r="B288" s="114" t="s">
        <v>1767</v>
      </c>
      <c r="C288" s="114">
        <v>4</v>
      </c>
      <c r="D288" s="116">
        <v>0.001070456300457269</v>
      </c>
      <c r="E288" s="116">
        <v>1.6734320970247822</v>
      </c>
      <c r="F288" s="114" t="s">
        <v>2559</v>
      </c>
      <c r="G288" s="114" t="b">
        <v>0</v>
      </c>
      <c r="H288" s="114" t="b">
        <v>0</v>
      </c>
      <c r="I288" s="114" t="b">
        <v>0</v>
      </c>
      <c r="J288" s="114" t="b">
        <v>0</v>
      </c>
      <c r="K288" s="114" t="b">
        <v>0</v>
      </c>
      <c r="L288" s="114" t="b">
        <v>0</v>
      </c>
    </row>
    <row r="289" spans="1:12" ht="15">
      <c r="A289" s="114" t="s">
        <v>1743</v>
      </c>
      <c r="B289" s="114" t="s">
        <v>1783</v>
      </c>
      <c r="C289" s="114">
        <v>4</v>
      </c>
      <c r="D289" s="116">
        <v>0.001070456300457269</v>
      </c>
      <c r="E289" s="116">
        <v>0.833132939892294</v>
      </c>
      <c r="F289" s="114" t="s">
        <v>2559</v>
      </c>
      <c r="G289" s="114" t="b">
        <v>0</v>
      </c>
      <c r="H289" s="114" t="b">
        <v>0</v>
      </c>
      <c r="I289" s="114" t="b">
        <v>0</v>
      </c>
      <c r="J289" s="114" t="b">
        <v>0</v>
      </c>
      <c r="K289" s="114" t="b">
        <v>0</v>
      </c>
      <c r="L289" s="114" t="b">
        <v>0</v>
      </c>
    </row>
    <row r="290" spans="1:12" ht="15">
      <c r="A290" s="114" t="s">
        <v>2081</v>
      </c>
      <c r="B290" s="114" t="s">
        <v>2082</v>
      </c>
      <c r="C290" s="114">
        <v>4</v>
      </c>
      <c r="D290" s="116">
        <v>0.0012224149050327265</v>
      </c>
      <c r="E290" s="116">
        <v>3.2822254710117127</v>
      </c>
      <c r="F290" s="114" t="s">
        <v>2559</v>
      </c>
      <c r="G290" s="114" t="b">
        <v>0</v>
      </c>
      <c r="H290" s="114" t="b">
        <v>0</v>
      </c>
      <c r="I290" s="114" t="b">
        <v>0</v>
      </c>
      <c r="J290" s="114" t="b">
        <v>0</v>
      </c>
      <c r="K290" s="114" t="b">
        <v>0</v>
      </c>
      <c r="L290" s="114" t="b">
        <v>0</v>
      </c>
    </row>
    <row r="291" spans="1:12" ht="15">
      <c r="A291" s="114" t="s">
        <v>1760</v>
      </c>
      <c r="B291" s="114" t="s">
        <v>2012</v>
      </c>
      <c r="C291" s="114">
        <v>4</v>
      </c>
      <c r="D291" s="116">
        <v>0.0012224149050327265</v>
      </c>
      <c r="E291" s="116">
        <v>2.324977451432663</v>
      </c>
      <c r="F291" s="114" t="s">
        <v>2559</v>
      </c>
      <c r="G291" s="114" t="b">
        <v>0</v>
      </c>
      <c r="H291" s="114" t="b">
        <v>0</v>
      </c>
      <c r="I291" s="114" t="b">
        <v>0</v>
      </c>
      <c r="J291" s="114" t="b">
        <v>0</v>
      </c>
      <c r="K291" s="114" t="b">
        <v>0</v>
      </c>
      <c r="L291" s="114" t="b">
        <v>0</v>
      </c>
    </row>
    <row r="292" spans="1:12" ht="15">
      <c r="A292" s="114" t="s">
        <v>1856</v>
      </c>
      <c r="B292" s="114" t="s">
        <v>1971</v>
      </c>
      <c r="C292" s="114">
        <v>4</v>
      </c>
      <c r="D292" s="116">
        <v>0.0009184976958818116</v>
      </c>
      <c r="E292" s="116">
        <v>2.666801518125769</v>
      </c>
      <c r="F292" s="114" t="s">
        <v>2559</v>
      </c>
      <c r="G292" s="114" t="b">
        <v>0</v>
      </c>
      <c r="H292" s="114" t="b">
        <v>0</v>
      </c>
      <c r="I292" s="114" t="b">
        <v>0</v>
      </c>
      <c r="J292" s="114" t="b">
        <v>0</v>
      </c>
      <c r="K292" s="114" t="b">
        <v>0</v>
      </c>
      <c r="L292" s="114" t="b">
        <v>0</v>
      </c>
    </row>
    <row r="293" spans="1:12" ht="15">
      <c r="A293" s="114" t="s">
        <v>1971</v>
      </c>
      <c r="B293" s="114" t="s">
        <v>1740</v>
      </c>
      <c r="C293" s="114">
        <v>4</v>
      </c>
      <c r="D293" s="116">
        <v>0.0009184976958818116</v>
      </c>
      <c r="E293" s="116">
        <v>1.1435281390319048</v>
      </c>
      <c r="F293" s="114" t="s">
        <v>2559</v>
      </c>
      <c r="G293" s="114" t="b">
        <v>0</v>
      </c>
      <c r="H293" s="114" t="b">
        <v>0</v>
      </c>
      <c r="I293" s="114" t="b">
        <v>0</v>
      </c>
      <c r="J293" s="114" t="b">
        <v>0</v>
      </c>
      <c r="K293" s="114" t="b">
        <v>0</v>
      </c>
      <c r="L293" s="114" t="b">
        <v>0</v>
      </c>
    </row>
    <row r="294" spans="1:12" ht="15">
      <c r="A294" s="114" t="s">
        <v>1753</v>
      </c>
      <c r="B294" s="114" t="s">
        <v>1740</v>
      </c>
      <c r="C294" s="114">
        <v>4</v>
      </c>
      <c r="D294" s="116">
        <v>0.0009184976958818116</v>
      </c>
      <c r="E294" s="116">
        <v>0.27822671292936096</v>
      </c>
      <c r="F294" s="114" t="s">
        <v>2559</v>
      </c>
      <c r="G294" s="114" t="b">
        <v>0</v>
      </c>
      <c r="H294" s="114" t="b">
        <v>0</v>
      </c>
      <c r="I294" s="114" t="b">
        <v>0</v>
      </c>
      <c r="J294" s="114" t="b">
        <v>0</v>
      </c>
      <c r="K294" s="114" t="b">
        <v>0</v>
      </c>
      <c r="L294" s="114" t="b">
        <v>0</v>
      </c>
    </row>
    <row r="295" spans="1:12" ht="15">
      <c r="A295" s="114" t="s">
        <v>1740</v>
      </c>
      <c r="B295" s="114" t="s">
        <v>2013</v>
      </c>
      <c r="C295" s="114">
        <v>4</v>
      </c>
      <c r="D295" s="116">
        <v>0.0009184976958818116</v>
      </c>
      <c r="E295" s="116">
        <v>1.2262740656825628</v>
      </c>
      <c r="F295" s="114" t="s">
        <v>2559</v>
      </c>
      <c r="G295" s="114" t="b">
        <v>0</v>
      </c>
      <c r="H295" s="114" t="b">
        <v>0</v>
      </c>
      <c r="I295" s="114" t="b">
        <v>0</v>
      </c>
      <c r="J295" s="114" t="b">
        <v>0</v>
      </c>
      <c r="K295" s="114" t="b">
        <v>0</v>
      </c>
      <c r="L295" s="114" t="b">
        <v>0</v>
      </c>
    </row>
    <row r="296" spans="1:12" ht="15">
      <c r="A296" s="114" t="s">
        <v>2013</v>
      </c>
      <c r="B296" s="114" t="s">
        <v>1753</v>
      </c>
      <c r="C296" s="114">
        <v>4</v>
      </c>
      <c r="D296" s="116">
        <v>0.0009184976958818116</v>
      </c>
      <c r="E296" s="116">
        <v>2.2688615094537314</v>
      </c>
      <c r="F296" s="114" t="s">
        <v>2559</v>
      </c>
      <c r="G296" s="114" t="b">
        <v>0</v>
      </c>
      <c r="H296" s="114" t="b">
        <v>0</v>
      </c>
      <c r="I296" s="114" t="b">
        <v>0</v>
      </c>
      <c r="J296" s="114" t="b">
        <v>0</v>
      </c>
      <c r="K296" s="114" t="b">
        <v>0</v>
      </c>
      <c r="L296" s="114" t="b">
        <v>0</v>
      </c>
    </row>
    <row r="297" spans="1:12" ht="15">
      <c r="A297" s="114" t="s">
        <v>1856</v>
      </c>
      <c r="B297" s="114" t="s">
        <v>1782</v>
      </c>
      <c r="C297" s="114">
        <v>4</v>
      </c>
      <c r="D297" s="116">
        <v>0.0009184976958818116</v>
      </c>
      <c r="E297" s="116">
        <v>2.1227334737754933</v>
      </c>
      <c r="F297" s="114" t="s">
        <v>2559</v>
      </c>
      <c r="G297" s="114" t="b">
        <v>0</v>
      </c>
      <c r="H297" s="114" t="b">
        <v>0</v>
      </c>
      <c r="I297" s="114" t="b">
        <v>0</v>
      </c>
      <c r="J297" s="114" t="b">
        <v>0</v>
      </c>
      <c r="K297" s="114" t="b">
        <v>0</v>
      </c>
      <c r="L297" s="114" t="b">
        <v>0</v>
      </c>
    </row>
    <row r="298" spans="1:12" ht="15">
      <c r="A298" s="114" t="s">
        <v>1946</v>
      </c>
      <c r="B298" s="114" t="s">
        <v>2084</v>
      </c>
      <c r="C298" s="114">
        <v>4</v>
      </c>
      <c r="D298" s="116">
        <v>0.0009184976958818116</v>
      </c>
      <c r="E298" s="116">
        <v>3.0391874223254183</v>
      </c>
      <c r="F298" s="114" t="s">
        <v>2559</v>
      </c>
      <c r="G298" s="114" t="b">
        <v>0</v>
      </c>
      <c r="H298" s="114" t="b">
        <v>0</v>
      </c>
      <c r="I298" s="114" t="b">
        <v>0</v>
      </c>
      <c r="J298" s="114" t="b">
        <v>0</v>
      </c>
      <c r="K298" s="114" t="b">
        <v>0</v>
      </c>
      <c r="L298" s="114" t="b">
        <v>0</v>
      </c>
    </row>
    <row r="299" spans="1:12" ht="15">
      <c r="A299" s="114" t="s">
        <v>2084</v>
      </c>
      <c r="B299" s="114" t="s">
        <v>2085</v>
      </c>
      <c r="C299" s="114">
        <v>4</v>
      </c>
      <c r="D299" s="116">
        <v>0.0009184976958818116</v>
      </c>
      <c r="E299" s="116">
        <v>3.2822254710117127</v>
      </c>
      <c r="F299" s="114" t="s">
        <v>2559</v>
      </c>
      <c r="G299" s="114" t="b">
        <v>0</v>
      </c>
      <c r="H299" s="114" t="b">
        <v>0</v>
      </c>
      <c r="I299" s="114" t="b">
        <v>0</v>
      </c>
      <c r="J299" s="114" t="b">
        <v>0</v>
      </c>
      <c r="K299" s="114" t="b">
        <v>0</v>
      </c>
      <c r="L299" s="114" t="b">
        <v>0</v>
      </c>
    </row>
    <row r="300" spans="1:12" ht="15">
      <c r="A300" s="114" t="s">
        <v>1924</v>
      </c>
      <c r="B300" s="114" t="s">
        <v>1752</v>
      </c>
      <c r="C300" s="114">
        <v>4</v>
      </c>
      <c r="D300" s="116">
        <v>0.0012224149050327265</v>
      </c>
      <c r="E300" s="116">
        <v>1.9111576087399766</v>
      </c>
      <c r="F300" s="114" t="s">
        <v>2559</v>
      </c>
      <c r="G300" s="114" t="b">
        <v>0</v>
      </c>
      <c r="H300" s="114" t="b">
        <v>0</v>
      </c>
      <c r="I300" s="114" t="b">
        <v>0</v>
      </c>
      <c r="J300" s="114" t="b">
        <v>0</v>
      </c>
      <c r="K300" s="114" t="b">
        <v>0</v>
      </c>
      <c r="L300" s="114" t="b">
        <v>0</v>
      </c>
    </row>
    <row r="301" spans="1:12" ht="15">
      <c r="A301" s="114" t="s">
        <v>1752</v>
      </c>
      <c r="B301" s="114" t="s">
        <v>1752</v>
      </c>
      <c r="C301" s="114">
        <v>4</v>
      </c>
      <c r="D301" s="116">
        <v>0.0012224149050327265</v>
      </c>
      <c r="E301" s="116">
        <v>1.1421497377962027</v>
      </c>
      <c r="F301" s="114" t="s">
        <v>2559</v>
      </c>
      <c r="G301" s="114" t="b">
        <v>0</v>
      </c>
      <c r="H301" s="114" t="b">
        <v>0</v>
      </c>
      <c r="I301" s="114" t="b">
        <v>0</v>
      </c>
      <c r="J301" s="114" t="b">
        <v>0</v>
      </c>
      <c r="K301" s="114" t="b">
        <v>0</v>
      </c>
      <c r="L301" s="114" t="b">
        <v>0</v>
      </c>
    </row>
    <row r="302" spans="1:12" ht="15">
      <c r="A302" s="114" t="s">
        <v>1739</v>
      </c>
      <c r="B302" s="114" t="s">
        <v>1942</v>
      </c>
      <c r="C302" s="114">
        <v>4</v>
      </c>
      <c r="D302" s="116">
        <v>0.000981566215118712</v>
      </c>
      <c r="E302" s="116">
        <v>0.9466422147198121</v>
      </c>
      <c r="F302" s="114" t="s">
        <v>2559</v>
      </c>
      <c r="G302" s="114" t="b">
        <v>0</v>
      </c>
      <c r="H302" s="114" t="b">
        <v>0</v>
      </c>
      <c r="I302" s="114" t="b">
        <v>0</v>
      </c>
      <c r="J302" s="114" t="b">
        <v>0</v>
      </c>
      <c r="K302" s="114" t="b">
        <v>0</v>
      </c>
      <c r="L302" s="114" t="b">
        <v>0</v>
      </c>
    </row>
    <row r="303" spans="1:12" ht="15">
      <c r="A303" s="114" t="s">
        <v>1942</v>
      </c>
      <c r="B303" s="114" t="s">
        <v>1739</v>
      </c>
      <c r="C303" s="114">
        <v>4</v>
      </c>
      <c r="D303" s="116">
        <v>0.000981566215118712</v>
      </c>
      <c r="E303" s="116">
        <v>1.0251471650451445</v>
      </c>
      <c r="F303" s="114" t="s">
        <v>2559</v>
      </c>
      <c r="G303" s="114" t="b">
        <v>0</v>
      </c>
      <c r="H303" s="114" t="b">
        <v>0</v>
      </c>
      <c r="I303" s="114" t="b">
        <v>0</v>
      </c>
      <c r="J303" s="114" t="b">
        <v>0</v>
      </c>
      <c r="K303" s="114" t="b">
        <v>0</v>
      </c>
      <c r="L303" s="114" t="b">
        <v>0</v>
      </c>
    </row>
    <row r="304" spans="1:12" ht="15">
      <c r="A304" s="114" t="s">
        <v>1825</v>
      </c>
      <c r="B304" s="114" t="s">
        <v>1739</v>
      </c>
      <c r="C304" s="114">
        <v>4</v>
      </c>
      <c r="D304" s="116">
        <v>0.000981566215118712</v>
      </c>
      <c r="E304" s="116">
        <v>0.6893550631219513</v>
      </c>
      <c r="F304" s="114" t="s">
        <v>2559</v>
      </c>
      <c r="G304" s="114" t="b">
        <v>0</v>
      </c>
      <c r="H304" s="114" t="b">
        <v>0</v>
      </c>
      <c r="I304" s="114" t="b">
        <v>0</v>
      </c>
      <c r="J304" s="114" t="b">
        <v>0</v>
      </c>
      <c r="K304" s="114" t="b">
        <v>0</v>
      </c>
      <c r="L304" s="114" t="b">
        <v>0</v>
      </c>
    </row>
    <row r="305" spans="1:12" ht="15">
      <c r="A305" s="114" t="s">
        <v>1778</v>
      </c>
      <c r="B305" s="114" t="s">
        <v>1739</v>
      </c>
      <c r="C305" s="114">
        <v>4</v>
      </c>
      <c r="D305" s="116">
        <v>0.0009184976958818116</v>
      </c>
      <c r="E305" s="116">
        <v>0.4608757346065819</v>
      </c>
      <c r="F305" s="114" t="s">
        <v>2559</v>
      </c>
      <c r="G305" s="114" t="b">
        <v>0</v>
      </c>
      <c r="H305" s="114" t="b">
        <v>0</v>
      </c>
      <c r="I305" s="114" t="b">
        <v>0</v>
      </c>
      <c r="J305" s="114" t="b">
        <v>0</v>
      </c>
      <c r="K305" s="114" t="b">
        <v>0</v>
      </c>
      <c r="L305" s="114" t="b">
        <v>0</v>
      </c>
    </row>
    <row r="306" spans="1:12" ht="15">
      <c r="A306" s="114" t="s">
        <v>1926</v>
      </c>
      <c r="B306" s="114" t="s">
        <v>1827</v>
      </c>
      <c r="C306" s="114">
        <v>4</v>
      </c>
      <c r="D306" s="116">
        <v>0.001070456300457269</v>
      </c>
      <c r="E306" s="116">
        <v>2.4693121143688574</v>
      </c>
      <c r="F306" s="114" t="s">
        <v>2559</v>
      </c>
      <c r="G306" s="114" t="b">
        <v>0</v>
      </c>
      <c r="H306" s="114" t="b">
        <v>0</v>
      </c>
      <c r="I306" s="114" t="b">
        <v>0</v>
      </c>
      <c r="J306" s="114" t="b">
        <v>0</v>
      </c>
      <c r="K306" s="114" t="b">
        <v>0</v>
      </c>
      <c r="L306" s="114" t="b">
        <v>0</v>
      </c>
    </row>
    <row r="307" spans="1:12" ht="15">
      <c r="A307" s="114" t="s">
        <v>1883</v>
      </c>
      <c r="B307" s="114" t="s">
        <v>2019</v>
      </c>
      <c r="C307" s="114">
        <v>4</v>
      </c>
      <c r="D307" s="116">
        <v>0.0012224149050327265</v>
      </c>
      <c r="E307" s="116">
        <v>2.787375449331619</v>
      </c>
      <c r="F307" s="114" t="s">
        <v>2559</v>
      </c>
      <c r="G307" s="114" t="b">
        <v>0</v>
      </c>
      <c r="H307" s="114" t="b">
        <v>0</v>
      </c>
      <c r="I307" s="114" t="b">
        <v>0</v>
      </c>
      <c r="J307" s="114" t="b">
        <v>1</v>
      </c>
      <c r="K307" s="114" t="b">
        <v>0</v>
      </c>
      <c r="L307" s="114" t="b">
        <v>0</v>
      </c>
    </row>
    <row r="308" spans="1:12" ht="15">
      <c r="A308" s="114" t="s">
        <v>1978</v>
      </c>
      <c r="B308" s="114" t="s">
        <v>1979</v>
      </c>
      <c r="C308" s="114">
        <v>4</v>
      </c>
      <c r="D308" s="116">
        <v>0.0012224149050327265</v>
      </c>
      <c r="E308" s="116">
        <v>2.9300429529003504</v>
      </c>
      <c r="F308" s="114" t="s">
        <v>2559</v>
      </c>
      <c r="G308" s="114" t="b">
        <v>0</v>
      </c>
      <c r="H308" s="114" t="b">
        <v>0</v>
      </c>
      <c r="I308" s="114" t="b">
        <v>0</v>
      </c>
      <c r="J308" s="114" t="b">
        <v>0</v>
      </c>
      <c r="K308" s="114" t="b">
        <v>1</v>
      </c>
      <c r="L308" s="114" t="b">
        <v>0</v>
      </c>
    </row>
    <row r="309" spans="1:12" ht="15">
      <c r="A309" s="114" t="s">
        <v>1860</v>
      </c>
      <c r="B309" s="114" t="s">
        <v>1860</v>
      </c>
      <c r="C309" s="114">
        <v>4</v>
      </c>
      <c r="D309" s="116">
        <v>0.0012224149050327265</v>
      </c>
      <c r="E309" s="116">
        <v>2.444952768509413</v>
      </c>
      <c r="F309" s="114" t="s">
        <v>2559</v>
      </c>
      <c r="G309" s="114" t="b">
        <v>0</v>
      </c>
      <c r="H309" s="114" t="b">
        <v>1</v>
      </c>
      <c r="I309" s="114" t="b">
        <v>0</v>
      </c>
      <c r="J309" s="114" t="b">
        <v>0</v>
      </c>
      <c r="K309" s="114" t="b">
        <v>1</v>
      </c>
      <c r="L309" s="114" t="b">
        <v>0</v>
      </c>
    </row>
    <row r="310" spans="1:12" ht="15">
      <c r="A310" s="114" t="s">
        <v>1928</v>
      </c>
      <c r="B310" s="114" t="s">
        <v>1741</v>
      </c>
      <c r="C310" s="114">
        <v>4</v>
      </c>
      <c r="D310" s="116">
        <v>0.0012224149050327265</v>
      </c>
      <c r="E310" s="116">
        <v>1.161651539805863</v>
      </c>
      <c r="F310" s="114" t="s">
        <v>2559</v>
      </c>
      <c r="G310" s="114" t="b">
        <v>0</v>
      </c>
      <c r="H310" s="114" t="b">
        <v>0</v>
      </c>
      <c r="I310" s="114" t="b">
        <v>0</v>
      </c>
      <c r="J310" s="114" t="b">
        <v>0</v>
      </c>
      <c r="K310" s="114" t="b">
        <v>0</v>
      </c>
      <c r="L310" s="114" t="b">
        <v>0</v>
      </c>
    </row>
    <row r="311" spans="1:12" ht="15">
      <c r="A311" s="114" t="s">
        <v>2104</v>
      </c>
      <c r="B311" s="114" t="s">
        <v>2022</v>
      </c>
      <c r="C311" s="114">
        <v>4</v>
      </c>
      <c r="D311" s="116">
        <v>0.0012224149050327265</v>
      </c>
      <c r="E311" s="116">
        <v>3.1853154580036565</v>
      </c>
      <c r="F311" s="114" t="s">
        <v>2559</v>
      </c>
      <c r="G311" s="114" t="b">
        <v>0</v>
      </c>
      <c r="H311" s="114" t="b">
        <v>0</v>
      </c>
      <c r="I311" s="114" t="b">
        <v>0</v>
      </c>
      <c r="J311" s="114" t="b">
        <v>0</v>
      </c>
      <c r="K311" s="114" t="b">
        <v>0</v>
      </c>
      <c r="L311" s="114" t="b">
        <v>0</v>
      </c>
    </row>
    <row r="312" spans="1:12" ht="15">
      <c r="A312" s="114" t="s">
        <v>1831</v>
      </c>
      <c r="B312" s="114" t="s">
        <v>2105</v>
      </c>
      <c r="C312" s="114">
        <v>4</v>
      </c>
      <c r="D312" s="116">
        <v>0.0012224149050327265</v>
      </c>
      <c r="E312" s="116">
        <v>2.7703421100328383</v>
      </c>
      <c r="F312" s="114" t="s">
        <v>2559</v>
      </c>
      <c r="G312" s="114" t="b">
        <v>0</v>
      </c>
      <c r="H312" s="114" t="b">
        <v>0</v>
      </c>
      <c r="I312" s="114" t="b">
        <v>0</v>
      </c>
      <c r="J312" s="114" t="b">
        <v>0</v>
      </c>
      <c r="K312" s="114" t="b">
        <v>0</v>
      </c>
      <c r="L312" s="114" t="b">
        <v>0</v>
      </c>
    </row>
    <row r="313" spans="1:12" ht="15">
      <c r="A313" s="114" t="s">
        <v>1952</v>
      </c>
      <c r="B313" s="114" t="s">
        <v>1790</v>
      </c>
      <c r="C313" s="114">
        <v>4</v>
      </c>
      <c r="D313" s="116">
        <v>0.001070456300457269</v>
      </c>
      <c r="E313" s="116">
        <v>2.3402174179893995</v>
      </c>
      <c r="F313" s="114" t="s">
        <v>2559</v>
      </c>
      <c r="G313" s="114" t="b">
        <v>0</v>
      </c>
      <c r="H313" s="114" t="b">
        <v>0</v>
      </c>
      <c r="I313" s="114" t="b">
        <v>0</v>
      </c>
      <c r="J313" s="114" t="b">
        <v>0</v>
      </c>
      <c r="K313" s="114" t="b">
        <v>0</v>
      </c>
      <c r="L313" s="114" t="b">
        <v>0</v>
      </c>
    </row>
    <row r="314" spans="1:12" ht="15">
      <c r="A314" s="114" t="s">
        <v>1798</v>
      </c>
      <c r="B314" s="114" t="s">
        <v>2108</v>
      </c>
      <c r="C314" s="114">
        <v>4</v>
      </c>
      <c r="D314" s="116">
        <v>0.001070456300457269</v>
      </c>
      <c r="E314" s="116">
        <v>2.6801654796837506</v>
      </c>
      <c r="F314" s="114" t="s">
        <v>2559</v>
      </c>
      <c r="G314" s="114" t="b">
        <v>0</v>
      </c>
      <c r="H314" s="114" t="b">
        <v>0</v>
      </c>
      <c r="I314" s="114" t="b">
        <v>0</v>
      </c>
      <c r="J314" s="114" t="b">
        <v>0</v>
      </c>
      <c r="K314" s="114" t="b">
        <v>0</v>
      </c>
      <c r="L314" s="114" t="b">
        <v>0</v>
      </c>
    </row>
    <row r="315" spans="1:12" ht="15">
      <c r="A315" s="114" t="s">
        <v>2110</v>
      </c>
      <c r="B315" s="114" t="s">
        <v>1844</v>
      </c>
      <c r="C315" s="114">
        <v>4</v>
      </c>
      <c r="D315" s="116">
        <v>0.001070456300457269</v>
      </c>
      <c r="E315" s="116">
        <v>2.8051042162920505</v>
      </c>
      <c r="F315" s="114" t="s">
        <v>2559</v>
      </c>
      <c r="G315" s="114" t="b">
        <v>0</v>
      </c>
      <c r="H315" s="114" t="b">
        <v>0</v>
      </c>
      <c r="I315" s="114" t="b">
        <v>0</v>
      </c>
      <c r="J315" s="114" t="b">
        <v>0</v>
      </c>
      <c r="K315" s="114" t="b">
        <v>0</v>
      </c>
      <c r="L315" s="114" t="b">
        <v>0</v>
      </c>
    </row>
    <row r="316" spans="1:12" ht="15">
      <c r="A316" s="114" t="s">
        <v>1740</v>
      </c>
      <c r="B316" s="114" t="s">
        <v>1779</v>
      </c>
      <c r="C316" s="114">
        <v>4</v>
      </c>
      <c r="D316" s="116">
        <v>0.0009184976958818116</v>
      </c>
      <c r="E316" s="116">
        <v>0.5828213891963755</v>
      </c>
      <c r="F316" s="114" t="s">
        <v>2559</v>
      </c>
      <c r="G316" s="114" t="b">
        <v>0</v>
      </c>
      <c r="H316" s="114" t="b">
        <v>0</v>
      </c>
      <c r="I316" s="114" t="b">
        <v>0</v>
      </c>
      <c r="J316" s="114" t="b">
        <v>0</v>
      </c>
      <c r="K316" s="114" t="b">
        <v>0</v>
      </c>
      <c r="L316" s="114" t="b">
        <v>0</v>
      </c>
    </row>
    <row r="317" spans="1:12" ht="15">
      <c r="A317" s="114" t="s">
        <v>1749</v>
      </c>
      <c r="B317" s="114" t="s">
        <v>2111</v>
      </c>
      <c r="C317" s="114">
        <v>4</v>
      </c>
      <c r="D317" s="116">
        <v>0.0012224149050327265</v>
      </c>
      <c r="E317" s="116">
        <v>2.136097435333475</v>
      </c>
      <c r="F317" s="114" t="s">
        <v>2559</v>
      </c>
      <c r="G317" s="114" t="b">
        <v>0</v>
      </c>
      <c r="H317" s="114" t="b">
        <v>0</v>
      </c>
      <c r="I317" s="114" t="b">
        <v>0</v>
      </c>
      <c r="J317" s="114" t="b">
        <v>0</v>
      </c>
      <c r="K317" s="114" t="b">
        <v>0</v>
      </c>
      <c r="L317" s="114" t="b">
        <v>0</v>
      </c>
    </row>
    <row r="318" spans="1:12" ht="15">
      <c r="A318" s="114" t="s">
        <v>2113</v>
      </c>
      <c r="B318" s="114" t="s">
        <v>2114</v>
      </c>
      <c r="C318" s="114">
        <v>4</v>
      </c>
      <c r="D318" s="116">
        <v>0.0012224149050327265</v>
      </c>
      <c r="E318" s="116">
        <v>3.2822254710117127</v>
      </c>
      <c r="F318" s="114" t="s">
        <v>2559</v>
      </c>
      <c r="G318" s="114" t="b">
        <v>0</v>
      </c>
      <c r="H318" s="114" t="b">
        <v>0</v>
      </c>
      <c r="I318" s="114" t="b">
        <v>0</v>
      </c>
      <c r="J318" s="114" t="b">
        <v>0</v>
      </c>
      <c r="K318" s="114" t="b">
        <v>0</v>
      </c>
      <c r="L318" s="114" t="b">
        <v>0</v>
      </c>
    </row>
    <row r="319" spans="1:12" ht="15">
      <c r="A319" s="114" t="s">
        <v>2116</v>
      </c>
      <c r="B319" s="114" t="s">
        <v>2117</v>
      </c>
      <c r="C319" s="114">
        <v>4</v>
      </c>
      <c r="D319" s="116">
        <v>0.0012224149050327265</v>
      </c>
      <c r="E319" s="116">
        <v>3.2822254710117127</v>
      </c>
      <c r="F319" s="114" t="s">
        <v>2559</v>
      </c>
      <c r="G319" s="114" t="b">
        <v>0</v>
      </c>
      <c r="H319" s="114" t="b">
        <v>0</v>
      </c>
      <c r="I319" s="114" t="b">
        <v>0</v>
      </c>
      <c r="J319" s="114" t="b">
        <v>0</v>
      </c>
      <c r="K319" s="114" t="b">
        <v>0</v>
      </c>
      <c r="L319" s="114" t="b">
        <v>0</v>
      </c>
    </row>
    <row r="320" spans="1:12" ht="15">
      <c r="A320" s="114" t="s">
        <v>2121</v>
      </c>
      <c r="B320" s="114" t="s">
        <v>1863</v>
      </c>
      <c r="C320" s="114">
        <v>4</v>
      </c>
      <c r="D320" s="116">
        <v>0.0012224149050327265</v>
      </c>
      <c r="E320" s="116">
        <v>2.884285462339675</v>
      </c>
      <c r="F320" s="114" t="s">
        <v>2559</v>
      </c>
      <c r="G320" s="114" t="b">
        <v>0</v>
      </c>
      <c r="H320" s="114" t="b">
        <v>0</v>
      </c>
      <c r="I320" s="114" t="b">
        <v>0</v>
      </c>
      <c r="J320" s="114" t="b">
        <v>0</v>
      </c>
      <c r="K320" s="114" t="b">
        <v>0</v>
      </c>
      <c r="L320" s="114" t="b">
        <v>0</v>
      </c>
    </row>
    <row r="321" spans="1:12" ht="15">
      <c r="A321" s="114" t="s">
        <v>2123</v>
      </c>
      <c r="B321" s="114" t="s">
        <v>1740</v>
      </c>
      <c r="C321" s="114">
        <v>3</v>
      </c>
      <c r="D321" s="116">
        <v>0.000736174661339034</v>
      </c>
      <c r="E321" s="116">
        <v>1.3196193980875859</v>
      </c>
      <c r="F321" s="114" t="s">
        <v>2559</v>
      </c>
      <c r="G321" s="114" t="b">
        <v>0</v>
      </c>
      <c r="H321" s="114" t="b">
        <v>0</v>
      </c>
      <c r="I321" s="114" t="b">
        <v>0</v>
      </c>
      <c r="J321" s="114" t="b">
        <v>0</v>
      </c>
      <c r="K321" s="114" t="b">
        <v>0</v>
      </c>
      <c r="L321" s="114" t="b">
        <v>0</v>
      </c>
    </row>
    <row r="322" spans="1:12" ht="15">
      <c r="A322" s="114" t="s">
        <v>1815</v>
      </c>
      <c r="B322" s="114" t="s">
        <v>1742</v>
      </c>
      <c r="C322" s="114">
        <v>3</v>
      </c>
      <c r="D322" s="116">
        <v>0.0008028422253429518</v>
      </c>
      <c r="E322" s="116">
        <v>0.8314633154006684</v>
      </c>
      <c r="F322" s="114" t="s">
        <v>2559</v>
      </c>
      <c r="G322" s="114" t="b">
        <v>0</v>
      </c>
      <c r="H322" s="114" t="b">
        <v>0</v>
      </c>
      <c r="I322" s="114" t="b">
        <v>0</v>
      </c>
      <c r="J322" s="114" t="b">
        <v>0</v>
      </c>
      <c r="K322" s="114" t="b">
        <v>0</v>
      </c>
      <c r="L322" s="114" t="b">
        <v>0</v>
      </c>
    </row>
    <row r="323" spans="1:12" ht="15">
      <c r="A323" s="114" t="s">
        <v>1846</v>
      </c>
      <c r="B323" s="114" t="s">
        <v>1846</v>
      </c>
      <c r="C323" s="114">
        <v>3</v>
      </c>
      <c r="D323" s="116">
        <v>0.000736174661339034</v>
      </c>
      <c r="E323" s="116">
        <v>2.3657715224617877</v>
      </c>
      <c r="F323" s="114" t="s">
        <v>2559</v>
      </c>
      <c r="G323" s="114" t="b">
        <v>0</v>
      </c>
      <c r="H323" s="114" t="b">
        <v>0</v>
      </c>
      <c r="I323" s="114" t="b">
        <v>0</v>
      </c>
      <c r="J323" s="114" t="b">
        <v>0</v>
      </c>
      <c r="K323" s="114" t="b">
        <v>0</v>
      </c>
      <c r="L323" s="114" t="b">
        <v>0</v>
      </c>
    </row>
    <row r="324" spans="1:12" ht="15">
      <c r="A324" s="114" t="s">
        <v>1747</v>
      </c>
      <c r="B324" s="114" t="s">
        <v>2033</v>
      </c>
      <c r="C324" s="114">
        <v>3</v>
      </c>
      <c r="D324" s="116">
        <v>0.000736174661339034</v>
      </c>
      <c r="E324" s="116">
        <v>1.867252123040895</v>
      </c>
      <c r="F324" s="114" t="s">
        <v>2559</v>
      </c>
      <c r="G324" s="114" t="b">
        <v>0</v>
      </c>
      <c r="H324" s="114" t="b">
        <v>0</v>
      </c>
      <c r="I324" s="114" t="b">
        <v>0</v>
      </c>
      <c r="J324" s="114" t="b">
        <v>0</v>
      </c>
      <c r="K324" s="114" t="b">
        <v>0</v>
      </c>
      <c r="L324" s="114" t="b">
        <v>0</v>
      </c>
    </row>
    <row r="325" spans="1:12" ht="15">
      <c r="A325" s="114" t="s">
        <v>1739</v>
      </c>
      <c r="B325" s="114" t="s">
        <v>1816</v>
      </c>
      <c r="C325" s="114">
        <v>3</v>
      </c>
      <c r="D325" s="116">
        <v>0.000736174661339034</v>
      </c>
      <c r="E325" s="116">
        <v>0.5528581658189322</v>
      </c>
      <c r="F325" s="114" t="s">
        <v>2559</v>
      </c>
      <c r="G325" s="114" t="b">
        <v>0</v>
      </c>
      <c r="H325" s="114" t="b">
        <v>0</v>
      </c>
      <c r="I325" s="114" t="b">
        <v>0</v>
      </c>
      <c r="J325" s="114" t="b">
        <v>0</v>
      </c>
      <c r="K325" s="114" t="b">
        <v>0</v>
      </c>
      <c r="L325" s="114" t="b">
        <v>0</v>
      </c>
    </row>
    <row r="326" spans="1:12" ht="15">
      <c r="A326" s="114" t="s">
        <v>1748</v>
      </c>
      <c r="B326" s="114" t="s">
        <v>1746</v>
      </c>
      <c r="C326" s="114">
        <v>3</v>
      </c>
      <c r="D326" s="116">
        <v>0.000736174661339034</v>
      </c>
      <c r="E326" s="116">
        <v>0.5518470024240699</v>
      </c>
      <c r="F326" s="114" t="s">
        <v>2559</v>
      </c>
      <c r="G326" s="114" t="b">
        <v>0</v>
      </c>
      <c r="H326" s="114" t="b">
        <v>0</v>
      </c>
      <c r="I326" s="114" t="b">
        <v>0</v>
      </c>
      <c r="J326" s="114" t="b">
        <v>0</v>
      </c>
      <c r="K326" s="114" t="b">
        <v>1</v>
      </c>
      <c r="L326" s="114" t="b">
        <v>0</v>
      </c>
    </row>
    <row r="327" spans="1:12" ht="15">
      <c r="A327" s="114" t="s">
        <v>1746</v>
      </c>
      <c r="B327" s="114" t="s">
        <v>1750</v>
      </c>
      <c r="C327" s="114">
        <v>3</v>
      </c>
      <c r="D327" s="116">
        <v>0.000736174661339034</v>
      </c>
      <c r="E327" s="116">
        <v>0.7330177870090262</v>
      </c>
      <c r="F327" s="114" t="s">
        <v>2559</v>
      </c>
      <c r="G327" s="114" t="b">
        <v>0</v>
      </c>
      <c r="H327" s="114" t="b">
        <v>1</v>
      </c>
      <c r="I327" s="114" t="b">
        <v>0</v>
      </c>
      <c r="J327" s="114" t="b">
        <v>0</v>
      </c>
      <c r="K327" s="114" t="b">
        <v>0</v>
      </c>
      <c r="L327" s="114" t="b">
        <v>0</v>
      </c>
    </row>
    <row r="328" spans="1:12" ht="15">
      <c r="A328" s="114" t="s">
        <v>2127</v>
      </c>
      <c r="B328" s="114" t="s">
        <v>1742</v>
      </c>
      <c r="C328" s="114">
        <v>3</v>
      </c>
      <c r="D328" s="116">
        <v>0.0008028422253429518</v>
      </c>
      <c r="E328" s="116">
        <v>1.500470096359244</v>
      </c>
      <c r="F328" s="114" t="s">
        <v>2559</v>
      </c>
      <c r="G328" s="114" t="b">
        <v>0</v>
      </c>
      <c r="H328" s="114" t="b">
        <v>0</v>
      </c>
      <c r="I328" s="114" t="b">
        <v>0</v>
      </c>
      <c r="J328" s="114" t="b">
        <v>0</v>
      </c>
      <c r="K328" s="114" t="b">
        <v>0</v>
      </c>
      <c r="L328" s="114" t="b">
        <v>0</v>
      </c>
    </row>
    <row r="329" spans="1:12" ht="15">
      <c r="A329" s="114" t="s">
        <v>1910</v>
      </c>
      <c r="B329" s="114" t="s">
        <v>1739</v>
      </c>
      <c r="C329" s="114">
        <v>3</v>
      </c>
      <c r="D329" s="116">
        <v>0.000736174661339034</v>
      </c>
      <c r="E329" s="116">
        <v>0.7752696918285444</v>
      </c>
      <c r="F329" s="114" t="s">
        <v>2559</v>
      </c>
      <c r="G329" s="114" t="b">
        <v>1</v>
      </c>
      <c r="H329" s="114" t="b">
        <v>0</v>
      </c>
      <c r="I329" s="114" t="b">
        <v>0</v>
      </c>
      <c r="J329" s="114" t="b">
        <v>0</v>
      </c>
      <c r="K329" s="114" t="b">
        <v>0</v>
      </c>
      <c r="L329" s="114" t="b">
        <v>0</v>
      </c>
    </row>
    <row r="330" spans="1:12" ht="15">
      <c r="A330" s="114" t="s">
        <v>2130</v>
      </c>
      <c r="B330" s="114" t="s">
        <v>2131</v>
      </c>
      <c r="C330" s="114">
        <v>3</v>
      </c>
      <c r="D330" s="116">
        <v>0.000736174661339034</v>
      </c>
      <c r="E330" s="116">
        <v>3.4071642076200126</v>
      </c>
      <c r="F330" s="114" t="s">
        <v>2559</v>
      </c>
      <c r="G330" s="114" t="b">
        <v>0</v>
      </c>
      <c r="H330" s="114" t="b">
        <v>0</v>
      </c>
      <c r="I330" s="114" t="b">
        <v>0</v>
      </c>
      <c r="J330" s="114" t="b">
        <v>0</v>
      </c>
      <c r="K330" s="114" t="b">
        <v>0</v>
      </c>
      <c r="L330" s="114" t="b">
        <v>0</v>
      </c>
    </row>
    <row r="331" spans="1:12" ht="15">
      <c r="A331" s="114" t="s">
        <v>2131</v>
      </c>
      <c r="B331" s="114" t="s">
        <v>2132</v>
      </c>
      <c r="C331" s="114">
        <v>3</v>
      </c>
      <c r="D331" s="116">
        <v>0.000736174661339034</v>
      </c>
      <c r="E331" s="116">
        <v>3.4071642076200126</v>
      </c>
      <c r="F331" s="114" t="s">
        <v>2559</v>
      </c>
      <c r="G331" s="114" t="b">
        <v>0</v>
      </c>
      <c r="H331" s="114" t="b">
        <v>0</v>
      </c>
      <c r="I331" s="114" t="b">
        <v>0</v>
      </c>
      <c r="J331" s="114" t="b">
        <v>0</v>
      </c>
      <c r="K331" s="114" t="b">
        <v>0</v>
      </c>
      <c r="L331" s="114" t="b">
        <v>0</v>
      </c>
    </row>
    <row r="332" spans="1:12" ht="15">
      <c r="A332" s="114" t="s">
        <v>2132</v>
      </c>
      <c r="B332" s="114" t="s">
        <v>1740</v>
      </c>
      <c r="C332" s="114">
        <v>3</v>
      </c>
      <c r="D332" s="116">
        <v>0.000736174661339034</v>
      </c>
      <c r="E332" s="116">
        <v>1.3196193980875859</v>
      </c>
      <c r="F332" s="114" t="s">
        <v>2559</v>
      </c>
      <c r="G332" s="114" t="b">
        <v>0</v>
      </c>
      <c r="H332" s="114" t="b">
        <v>0</v>
      </c>
      <c r="I332" s="114" t="b">
        <v>0</v>
      </c>
      <c r="J332" s="114" t="b">
        <v>0</v>
      </c>
      <c r="K332" s="114" t="b">
        <v>0</v>
      </c>
      <c r="L332" s="114" t="b">
        <v>0</v>
      </c>
    </row>
    <row r="333" spans="1:12" ht="15">
      <c r="A333" s="114" t="s">
        <v>1739</v>
      </c>
      <c r="B333" s="114" t="s">
        <v>1936</v>
      </c>
      <c r="C333" s="114">
        <v>3</v>
      </c>
      <c r="D333" s="116">
        <v>0.0009168111787745449</v>
      </c>
      <c r="E333" s="116">
        <v>0.8217034781115121</v>
      </c>
      <c r="F333" s="114" t="s">
        <v>2559</v>
      </c>
      <c r="G333" s="114" t="b">
        <v>0</v>
      </c>
      <c r="H333" s="114" t="b">
        <v>0</v>
      </c>
      <c r="I333" s="114" t="b">
        <v>0</v>
      </c>
      <c r="J333" s="114" t="b">
        <v>0</v>
      </c>
      <c r="K333" s="114" t="b">
        <v>0</v>
      </c>
      <c r="L333" s="114" t="b">
        <v>0</v>
      </c>
    </row>
    <row r="334" spans="1:12" ht="15">
      <c r="A334" s="114" t="s">
        <v>1743</v>
      </c>
      <c r="B334" s="114" t="s">
        <v>1746</v>
      </c>
      <c r="C334" s="114">
        <v>3</v>
      </c>
      <c r="D334" s="116">
        <v>0.000736174661339034</v>
      </c>
      <c r="E334" s="116">
        <v>0.07472574770440749</v>
      </c>
      <c r="F334" s="114" t="s">
        <v>2559</v>
      </c>
      <c r="G334" s="114" t="b">
        <v>0</v>
      </c>
      <c r="H334" s="114" t="b">
        <v>0</v>
      </c>
      <c r="I334" s="114" t="b">
        <v>0</v>
      </c>
      <c r="J334" s="114" t="b">
        <v>0</v>
      </c>
      <c r="K334" s="114" t="b">
        <v>1</v>
      </c>
      <c r="L334" s="114" t="b">
        <v>0</v>
      </c>
    </row>
    <row r="335" spans="1:12" ht="15">
      <c r="A335" s="114" t="s">
        <v>1889</v>
      </c>
      <c r="B335" s="114" t="s">
        <v>1739</v>
      </c>
      <c r="C335" s="114">
        <v>3</v>
      </c>
      <c r="D335" s="116">
        <v>0.000736174661339034</v>
      </c>
      <c r="E335" s="116">
        <v>0.7752696918285444</v>
      </c>
      <c r="F335" s="114" t="s">
        <v>2559</v>
      </c>
      <c r="G335" s="114" t="b">
        <v>0</v>
      </c>
      <c r="H335" s="114" t="b">
        <v>0</v>
      </c>
      <c r="I335" s="114" t="b">
        <v>0</v>
      </c>
      <c r="J335" s="114" t="b">
        <v>0</v>
      </c>
      <c r="K335" s="114" t="b">
        <v>0</v>
      </c>
      <c r="L335" s="114" t="b">
        <v>0</v>
      </c>
    </row>
    <row r="336" spans="1:12" ht="15">
      <c r="A336" s="114" t="s">
        <v>1795</v>
      </c>
      <c r="B336" s="114" t="s">
        <v>1867</v>
      </c>
      <c r="C336" s="114">
        <v>3</v>
      </c>
      <c r="D336" s="116">
        <v>0.0008028422253429518</v>
      </c>
      <c r="E336" s="116">
        <v>2.106134211956032</v>
      </c>
      <c r="F336" s="114" t="s">
        <v>2559</v>
      </c>
      <c r="G336" s="114" t="b">
        <v>0</v>
      </c>
      <c r="H336" s="114" t="b">
        <v>1</v>
      </c>
      <c r="I336" s="114" t="b">
        <v>0</v>
      </c>
      <c r="J336" s="114" t="b">
        <v>0</v>
      </c>
      <c r="K336" s="114" t="b">
        <v>0</v>
      </c>
      <c r="L336" s="114" t="b">
        <v>0</v>
      </c>
    </row>
    <row r="337" spans="1:12" ht="15">
      <c r="A337" s="114" t="s">
        <v>1739</v>
      </c>
      <c r="B337" s="114" t="s">
        <v>1891</v>
      </c>
      <c r="C337" s="114">
        <v>3</v>
      </c>
      <c r="D337" s="116">
        <v>0.000736174661339034</v>
      </c>
      <c r="E337" s="116">
        <v>0.7125590086864441</v>
      </c>
      <c r="F337" s="114" t="s">
        <v>2559</v>
      </c>
      <c r="G337" s="114" t="b">
        <v>0</v>
      </c>
      <c r="H337" s="114" t="b">
        <v>0</v>
      </c>
      <c r="I337" s="114" t="b">
        <v>0</v>
      </c>
      <c r="J337" s="114" t="b">
        <v>0</v>
      </c>
      <c r="K337" s="114" t="b">
        <v>0</v>
      </c>
      <c r="L337" s="114" t="b">
        <v>0</v>
      </c>
    </row>
    <row r="338" spans="1:12" ht="15">
      <c r="A338" s="114" t="s">
        <v>1746</v>
      </c>
      <c r="B338" s="114" t="s">
        <v>1749</v>
      </c>
      <c r="C338" s="114">
        <v>3</v>
      </c>
      <c r="D338" s="116">
        <v>0.0008028422253429518</v>
      </c>
      <c r="E338" s="116">
        <v>0.6837997643388445</v>
      </c>
      <c r="F338" s="114" t="s">
        <v>2559</v>
      </c>
      <c r="G338" s="114" t="b">
        <v>0</v>
      </c>
      <c r="H338" s="114" t="b">
        <v>1</v>
      </c>
      <c r="I338" s="114" t="b">
        <v>0</v>
      </c>
      <c r="J338" s="114" t="b">
        <v>0</v>
      </c>
      <c r="K338" s="114" t="b">
        <v>0</v>
      </c>
      <c r="L338" s="114" t="b">
        <v>0</v>
      </c>
    </row>
    <row r="339" spans="1:12" ht="15">
      <c r="A339" s="114" t="s">
        <v>1873</v>
      </c>
      <c r="B339" s="114" t="s">
        <v>2041</v>
      </c>
      <c r="C339" s="114">
        <v>3</v>
      </c>
      <c r="D339" s="116">
        <v>0.000736174661339034</v>
      </c>
      <c r="E339" s="116">
        <v>2.7593467257313753</v>
      </c>
      <c r="F339" s="114" t="s">
        <v>2559</v>
      </c>
      <c r="G339" s="114" t="b">
        <v>0</v>
      </c>
      <c r="H339" s="114" t="b">
        <v>0</v>
      </c>
      <c r="I339" s="114" t="b">
        <v>0</v>
      </c>
      <c r="J339" s="114" t="b">
        <v>0</v>
      </c>
      <c r="K339" s="114" t="b">
        <v>0</v>
      </c>
      <c r="L339" s="114" t="b">
        <v>0</v>
      </c>
    </row>
    <row r="340" spans="1:12" ht="15">
      <c r="A340" s="114" t="s">
        <v>2041</v>
      </c>
      <c r="B340" s="114" t="s">
        <v>2138</v>
      </c>
      <c r="C340" s="114">
        <v>3</v>
      </c>
      <c r="D340" s="116">
        <v>0.000736174661339034</v>
      </c>
      <c r="E340" s="116">
        <v>3.2822254710117127</v>
      </c>
      <c r="F340" s="114" t="s">
        <v>2559</v>
      </c>
      <c r="G340" s="114" t="b">
        <v>0</v>
      </c>
      <c r="H340" s="114" t="b">
        <v>0</v>
      </c>
      <c r="I340" s="114" t="b">
        <v>0</v>
      </c>
      <c r="J340" s="114" t="b">
        <v>0</v>
      </c>
      <c r="K340" s="114" t="b">
        <v>0</v>
      </c>
      <c r="L340" s="114" t="b">
        <v>0</v>
      </c>
    </row>
    <row r="341" spans="1:12" ht="15">
      <c r="A341" s="114" t="s">
        <v>1958</v>
      </c>
      <c r="B341" s="114" t="s">
        <v>1889</v>
      </c>
      <c r="C341" s="114">
        <v>3</v>
      </c>
      <c r="D341" s="116">
        <v>0.000736174661339034</v>
      </c>
      <c r="E341" s="116">
        <v>2.629012957236369</v>
      </c>
      <c r="F341" s="114" t="s">
        <v>2559</v>
      </c>
      <c r="G341" s="114" t="b">
        <v>0</v>
      </c>
      <c r="H341" s="114" t="b">
        <v>0</v>
      </c>
      <c r="I341" s="114" t="b">
        <v>0</v>
      </c>
      <c r="J341" s="114" t="b">
        <v>0</v>
      </c>
      <c r="K341" s="114" t="b">
        <v>0</v>
      </c>
      <c r="L341" s="114" t="b">
        <v>0</v>
      </c>
    </row>
    <row r="342" spans="1:12" ht="15">
      <c r="A342" s="114" t="s">
        <v>1739</v>
      </c>
      <c r="B342" s="114" t="s">
        <v>1798</v>
      </c>
      <c r="C342" s="114">
        <v>3</v>
      </c>
      <c r="D342" s="116">
        <v>0.000736174661339034</v>
      </c>
      <c r="E342" s="116">
        <v>0.43635259674749494</v>
      </c>
      <c r="F342" s="114" t="s">
        <v>2559</v>
      </c>
      <c r="G342" s="114" t="b">
        <v>0</v>
      </c>
      <c r="H342" s="114" t="b">
        <v>0</v>
      </c>
      <c r="I342" s="114" t="b">
        <v>0</v>
      </c>
      <c r="J342" s="114" t="b">
        <v>0</v>
      </c>
      <c r="K342" s="114" t="b">
        <v>0</v>
      </c>
      <c r="L342" s="114" t="b">
        <v>0</v>
      </c>
    </row>
    <row r="343" spans="1:12" ht="15">
      <c r="A343" s="114" t="s">
        <v>1739</v>
      </c>
      <c r="B343" s="114" t="s">
        <v>1803</v>
      </c>
      <c r="C343" s="114">
        <v>3</v>
      </c>
      <c r="D343" s="116">
        <v>0.000736174661339034</v>
      </c>
      <c r="E343" s="116">
        <v>0.46268153546984414</v>
      </c>
      <c r="F343" s="114" t="s">
        <v>2559</v>
      </c>
      <c r="G343" s="114" t="b">
        <v>0</v>
      </c>
      <c r="H343" s="114" t="b">
        <v>0</v>
      </c>
      <c r="I343" s="114" t="b">
        <v>0</v>
      </c>
      <c r="J343" s="114" t="b">
        <v>0</v>
      </c>
      <c r="K343" s="114" t="b">
        <v>0</v>
      </c>
      <c r="L343" s="114" t="b">
        <v>0</v>
      </c>
    </row>
    <row r="344" spans="1:12" ht="15">
      <c r="A344" s="114" t="s">
        <v>2142</v>
      </c>
      <c r="B344" s="114" t="s">
        <v>1867</v>
      </c>
      <c r="C344" s="114">
        <v>3</v>
      </c>
      <c r="D344" s="116">
        <v>0.0009168111787745449</v>
      </c>
      <c r="E344" s="116">
        <v>2.884285462339675</v>
      </c>
      <c r="F344" s="114" t="s">
        <v>2559</v>
      </c>
      <c r="G344" s="114" t="b">
        <v>0</v>
      </c>
      <c r="H344" s="114" t="b">
        <v>0</v>
      </c>
      <c r="I344" s="114" t="b">
        <v>0</v>
      </c>
      <c r="J344" s="114" t="b">
        <v>0</v>
      </c>
      <c r="K344" s="114" t="b">
        <v>0</v>
      </c>
      <c r="L344" s="114" t="b">
        <v>0</v>
      </c>
    </row>
    <row r="345" spans="1:12" ht="15">
      <c r="A345" s="114" t="s">
        <v>1739</v>
      </c>
      <c r="B345" s="114" t="s">
        <v>1874</v>
      </c>
      <c r="C345" s="114">
        <v>3</v>
      </c>
      <c r="D345" s="116">
        <v>0.0008028422253429518</v>
      </c>
      <c r="E345" s="116">
        <v>0.6668015181257689</v>
      </c>
      <c r="F345" s="114" t="s">
        <v>2559</v>
      </c>
      <c r="G345" s="114" t="b">
        <v>0</v>
      </c>
      <c r="H345" s="114" t="b">
        <v>0</v>
      </c>
      <c r="I345" s="114" t="b">
        <v>0</v>
      </c>
      <c r="J345" s="114" t="b">
        <v>0</v>
      </c>
      <c r="K345" s="114" t="b">
        <v>0</v>
      </c>
      <c r="L345" s="114" t="b">
        <v>0</v>
      </c>
    </row>
    <row r="346" spans="1:12" ht="15">
      <c r="A346" s="114" t="s">
        <v>1874</v>
      </c>
      <c r="B346" s="114" t="s">
        <v>2143</v>
      </c>
      <c r="C346" s="114">
        <v>3</v>
      </c>
      <c r="D346" s="116">
        <v>0.0008028422253429518</v>
      </c>
      <c r="E346" s="116">
        <v>2.9300429529003504</v>
      </c>
      <c r="F346" s="114" t="s">
        <v>2559</v>
      </c>
      <c r="G346" s="114" t="b">
        <v>0</v>
      </c>
      <c r="H346" s="114" t="b">
        <v>0</v>
      </c>
      <c r="I346" s="114" t="b">
        <v>0</v>
      </c>
      <c r="J346" s="114" t="b">
        <v>0</v>
      </c>
      <c r="K346" s="114" t="b">
        <v>0</v>
      </c>
      <c r="L346" s="114" t="b">
        <v>0</v>
      </c>
    </row>
    <row r="347" spans="1:12" ht="15">
      <c r="A347" s="114" t="s">
        <v>1739</v>
      </c>
      <c r="B347" s="114" t="s">
        <v>1835</v>
      </c>
      <c r="C347" s="114">
        <v>3</v>
      </c>
      <c r="D347" s="116">
        <v>0.0008028422253429518</v>
      </c>
      <c r="E347" s="116">
        <v>0.6668015181257689</v>
      </c>
      <c r="F347" s="114" t="s">
        <v>2559</v>
      </c>
      <c r="G347" s="114" t="b">
        <v>0</v>
      </c>
      <c r="H347" s="114" t="b">
        <v>0</v>
      </c>
      <c r="I347" s="114" t="b">
        <v>0</v>
      </c>
      <c r="J347" s="114" t="b">
        <v>0</v>
      </c>
      <c r="K347" s="114" t="b">
        <v>0</v>
      </c>
      <c r="L347" s="114" t="b">
        <v>0</v>
      </c>
    </row>
    <row r="348" spans="1:12" ht="15">
      <c r="A348" s="114" t="s">
        <v>1894</v>
      </c>
      <c r="B348" s="114" t="s">
        <v>2144</v>
      </c>
      <c r="C348" s="114">
        <v>3</v>
      </c>
      <c r="D348" s="116">
        <v>0.0008028422253429518</v>
      </c>
      <c r="E348" s="116">
        <v>2.9811954753477314</v>
      </c>
      <c r="F348" s="114" t="s">
        <v>2559</v>
      </c>
      <c r="G348" s="114" t="b">
        <v>0</v>
      </c>
      <c r="H348" s="114" t="b">
        <v>0</v>
      </c>
      <c r="I348" s="114" t="b">
        <v>0</v>
      </c>
      <c r="J348" s="114" t="b">
        <v>0</v>
      </c>
      <c r="K348" s="114" t="b">
        <v>0</v>
      </c>
      <c r="L348" s="114" t="b">
        <v>0</v>
      </c>
    </row>
    <row r="349" spans="1:12" ht="15">
      <c r="A349" s="114" t="s">
        <v>1870</v>
      </c>
      <c r="B349" s="114" t="s">
        <v>1773</v>
      </c>
      <c r="C349" s="114">
        <v>3</v>
      </c>
      <c r="D349" s="116">
        <v>0.000736174661339034</v>
      </c>
      <c r="E349" s="116">
        <v>2.04543637160242</v>
      </c>
      <c r="F349" s="114" t="s">
        <v>2559</v>
      </c>
      <c r="G349" s="114" t="b">
        <v>0</v>
      </c>
      <c r="H349" s="114" t="b">
        <v>0</v>
      </c>
      <c r="I349" s="114" t="b">
        <v>0</v>
      </c>
      <c r="J349" s="114" t="b">
        <v>0</v>
      </c>
      <c r="K349" s="114" t="b">
        <v>0</v>
      </c>
      <c r="L349" s="114" t="b">
        <v>0</v>
      </c>
    </row>
    <row r="350" spans="1:12" ht="15">
      <c r="A350" s="114" t="s">
        <v>1773</v>
      </c>
      <c r="B350" s="114" t="s">
        <v>1794</v>
      </c>
      <c r="C350" s="114">
        <v>3</v>
      </c>
      <c r="D350" s="116">
        <v>0.000736174661339034</v>
      </c>
      <c r="E350" s="116">
        <v>1.9977947371671934</v>
      </c>
      <c r="F350" s="114" t="s">
        <v>2559</v>
      </c>
      <c r="G350" s="114" t="b">
        <v>0</v>
      </c>
      <c r="H350" s="114" t="b">
        <v>0</v>
      </c>
      <c r="I350" s="114" t="b">
        <v>0</v>
      </c>
      <c r="J350" s="114" t="b">
        <v>0</v>
      </c>
      <c r="K350" s="114" t="b">
        <v>0</v>
      </c>
      <c r="L350" s="114" t="b">
        <v>0</v>
      </c>
    </row>
    <row r="351" spans="1:12" ht="15">
      <c r="A351" s="114" t="s">
        <v>1894</v>
      </c>
      <c r="B351" s="114" t="s">
        <v>2145</v>
      </c>
      <c r="C351" s="114">
        <v>3</v>
      </c>
      <c r="D351" s="116">
        <v>0.000736174661339034</v>
      </c>
      <c r="E351" s="116">
        <v>2.9811954753477314</v>
      </c>
      <c r="F351" s="114" t="s">
        <v>2559</v>
      </c>
      <c r="G351" s="114" t="b">
        <v>0</v>
      </c>
      <c r="H351" s="114" t="b">
        <v>0</v>
      </c>
      <c r="I351" s="114" t="b">
        <v>0</v>
      </c>
      <c r="J351" s="114" t="b">
        <v>0</v>
      </c>
      <c r="K351" s="114" t="b">
        <v>0</v>
      </c>
      <c r="L351" s="114" t="b">
        <v>0</v>
      </c>
    </row>
    <row r="352" spans="1:12" ht="15">
      <c r="A352" s="114" t="s">
        <v>1748</v>
      </c>
      <c r="B352" s="114" t="s">
        <v>1777</v>
      </c>
      <c r="C352" s="114">
        <v>3</v>
      </c>
      <c r="D352" s="116">
        <v>0.000736174661339034</v>
      </c>
      <c r="E352" s="116">
        <v>1.2075918527148086</v>
      </c>
      <c r="F352" s="114" t="s">
        <v>2559</v>
      </c>
      <c r="G352" s="114" t="b">
        <v>0</v>
      </c>
      <c r="H352" s="114" t="b">
        <v>0</v>
      </c>
      <c r="I352" s="114" t="b">
        <v>0</v>
      </c>
      <c r="J352" s="114" t="b">
        <v>0</v>
      </c>
      <c r="K352" s="114" t="b">
        <v>0</v>
      </c>
      <c r="L352" s="114" t="b">
        <v>0</v>
      </c>
    </row>
    <row r="353" spans="1:12" ht="15">
      <c r="A353" s="114" t="s">
        <v>1739</v>
      </c>
      <c r="B353" s="114" t="s">
        <v>1836</v>
      </c>
      <c r="C353" s="114">
        <v>3</v>
      </c>
      <c r="D353" s="116">
        <v>0.0009168111787745449</v>
      </c>
      <c r="E353" s="116">
        <v>0.5876202720781442</v>
      </c>
      <c r="F353" s="114" t="s">
        <v>2559</v>
      </c>
      <c r="G353" s="114" t="b">
        <v>0</v>
      </c>
      <c r="H353" s="114" t="b">
        <v>0</v>
      </c>
      <c r="I353" s="114" t="b">
        <v>0</v>
      </c>
      <c r="J353" s="114" t="b">
        <v>0</v>
      </c>
      <c r="K353" s="114" t="b">
        <v>0</v>
      </c>
      <c r="L353" s="114" t="b">
        <v>0</v>
      </c>
    </row>
    <row r="354" spans="1:12" ht="15">
      <c r="A354" s="114" t="s">
        <v>1749</v>
      </c>
      <c r="B354" s="114" t="s">
        <v>1749</v>
      </c>
      <c r="C354" s="114">
        <v>3</v>
      </c>
      <c r="D354" s="116">
        <v>0.000736174661339034</v>
      </c>
      <c r="E354" s="116">
        <v>0.8650306630469368</v>
      </c>
      <c r="F354" s="114" t="s">
        <v>2559</v>
      </c>
      <c r="G354" s="114" t="b">
        <v>0</v>
      </c>
      <c r="H354" s="114" t="b">
        <v>0</v>
      </c>
      <c r="I354" s="114" t="b">
        <v>0</v>
      </c>
      <c r="J354" s="114" t="b">
        <v>0</v>
      </c>
      <c r="K354" s="114" t="b">
        <v>0</v>
      </c>
      <c r="L354" s="114" t="b">
        <v>0</v>
      </c>
    </row>
    <row r="355" spans="1:12" ht="15">
      <c r="A355" s="114" t="s">
        <v>1749</v>
      </c>
      <c r="B355" s="114" t="s">
        <v>1837</v>
      </c>
      <c r="C355" s="114">
        <v>3</v>
      </c>
      <c r="D355" s="116">
        <v>0.0009168111787745449</v>
      </c>
      <c r="E355" s="116">
        <v>1.5340374440055125</v>
      </c>
      <c r="F355" s="114" t="s">
        <v>2559</v>
      </c>
      <c r="G355" s="114" t="b">
        <v>0</v>
      </c>
      <c r="H355" s="114" t="b">
        <v>0</v>
      </c>
      <c r="I355" s="114" t="b">
        <v>0</v>
      </c>
      <c r="J355" s="114" t="b">
        <v>0</v>
      </c>
      <c r="K355" s="114" t="b">
        <v>0</v>
      </c>
      <c r="L355" s="114" t="b">
        <v>0</v>
      </c>
    </row>
    <row r="356" spans="1:12" ht="15">
      <c r="A356" s="114" t="s">
        <v>2149</v>
      </c>
      <c r="B356" s="114" t="s">
        <v>2150</v>
      </c>
      <c r="C356" s="114">
        <v>3</v>
      </c>
      <c r="D356" s="116">
        <v>0.0009168111787745449</v>
      </c>
      <c r="E356" s="116">
        <v>3.4071642076200126</v>
      </c>
      <c r="F356" s="114" t="s">
        <v>2559</v>
      </c>
      <c r="G356" s="114" t="b">
        <v>0</v>
      </c>
      <c r="H356" s="114" t="b">
        <v>0</v>
      </c>
      <c r="I356" s="114" t="b">
        <v>0</v>
      </c>
      <c r="J356" s="114" t="b">
        <v>0</v>
      </c>
      <c r="K356" s="114" t="b">
        <v>0</v>
      </c>
      <c r="L356" s="114" t="b">
        <v>0</v>
      </c>
    </row>
    <row r="357" spans="1:12" ht="15">
      <c r="A357" s="114" t="s">
        <v>1787</v>
      </c>
      <c r="B357" s="114" t="s">
        <v>1747</v>
      </c>
      <c r="C357" s="114">
        <v>3</v>
      </c>
      <c r="D357" s="116">
        <v>0.000736174661339034</v>
      </c>
      <c r="E357" s="116">
        <v>1.203044224964088</v>
      </c>
      <c r="F357" s="114" t="s">
        <v>2559</v>
      </c>
      <c r="G357" s="114" t="b">
        <v>0</v>
      </c>
      <c r="H357" s="114" t="b">
        <v>0</v>
      </c>
      <c r="I357" s="114" t="b">
        <v>0</v>
      </c>
      <c r="J357" s="114" t="b">
        <v>0</v>
      </c>
      <c r="K357" s="114" t="b">
        <v>0</v>
      </c>
      <c r="L357" s="114" t="b">
        <v>0</v>
      </c>
    </row>
    <row r="358" spans="1:12" ht="15">
      <c r="A358" s="114" t="s">
        <v>1747</v>
      </c>
      <c r="B358" s="114" t="s">
        <v>1739</v>
      </c>
      <c r="C358" s="114">
        <v>3</v>
      </c>
      <c r="D358" s="116">
        <v>0.000736174661339034</v>
      </c>
      <c r="E358" s="116">
        <v>-0.21373492386999232</v>
      </c>
      <c r="F358" s="114" t="s">
        <v>2559</v>
      </c>
      <c r="G358" s="114" t="b">
        <v>0</v>
      </c>
      <c r="H358" s="114" t="b">
        <v>0</v>
      </c>
      <c r="I358" s="114" t="b">
        <v>0</v>
      </c>
      <c r="J358" s="114" t="b">
        <v>0</v>
      </c>
      <c r="K358" s="114" t="b">
        <v>0</v>
      </c>
      <c r="L358" s="114" t="b">
        <v>0</v>
      </c>
    </row>
    <row r="359" spans="1:12" ht="15">
      <c r="A359" s="114" t="s">
        <v>2154</v>
      </c>
      <c r="B359" s="114" t="s">
        <v>1995</v>
      </c>
      <c r="C359" s="114">
        <v>3</v>
      </c>
      <c r="D359" s="116">
        <v>0.0009168111787745449</v>
      </c>
      <c r="E359" s="116">
        <v>3.1853154580036565</v>
      </c>
      <c r="F359" s="114" t="s">
        <v>2559</v>
      </c>
      <c r="G359" s="114" t="b">
        <v>0</v>
      </c>
      <c r="H359" s="114" t="b">
        <v>0</v>
      </c>
      <c r="I359" s="114" t="b">
        <v>0</v>
      </c>
      <c r="J359" s="114" t="b">
        <v>0</v>
      </c>
      <c r="K359" s="114" t="b">
        <v>0</v>
      </c>
      <c r="L359" s="114" t="b">
        <v>0</v>
      </c>
    </row>
    <row r="360" spans="1:12" ht="15">
      <c r="A360" s="114" t="s">
        <v>1743</v>
      </c>
      <c r="B360" s="114" t="s">
        <v>1816</v>
      </c>
      <c r="C360" s="114">
        <v>3</v>
      </c>
      <c r="D360" s="116">
        <v>0.000736174661339034</v>
      </c>
      <c r="E360" s="116">
        <v>0.8952808466411384</v>
      </c>
      <c r="F360" s="114" t="s">
        <v>2559</v>
      </c>
      <c r="G360" s="114" t="b">
        <v>0</v>
      </c>
      <c r="H360" s="114" t="b">
        <v>0</v>
      </c>
      <c r="I360" s="114" t="b">
        <v>0</v>
      </c>
      <c r="J360" s="114" t="b">
        <v>0</v>
      </c>
      <c r="K360" s="114" t="b">
        <v>0</v>
      </c>
      <c r="L360" s="114" t="b">
        <v>0</v>
      </c>
    </row>
    <row r="361" spans="1:12" ht="15">
      <c r="A361" s="114" t="s">
        <v>1788</v>
      </c>
      <c r="B361" s="114" t="s">
        <v>1963</v>
      </c>
      <c r="C361" s="114">
        <v>3</v>
      </c>
      <c r="D361" s="116">
        <v>0.0008028422253429518</v>
      </c>
      <c r="E361" s="116">
        <v>2.2822254710117127</v>
      </c>
      <c r="F361" s="114" t="s">
        <v>2559</v>
      </c>
      <c r="G361" s="114" t="b">
        <v>0</v>
      </c>
      <c r="H361" s="114" t="b">
        <v>0</v>
      </c>
      <c r="I361" s="114" t="b">
        <v>0</v>
      </c>
      <c r="J361" s="114" t="b">
        <v>0</v>
      </c>
      <c r="K361" s="114" t="b">
        <v>0</v>
      </c>
      <c r="L361" s="114" t="b">
        <v>0</v>
      </c>
    </row>
    <row r="362" spans="1:12" ht="15">
      <c r="A362" s="114" t="s">
        <v>1743</v>
      </c>
      <c r="B362" s="114" t="s">
        <v>1780</v>
      </c>
      <c r="C362" s="114">
        <v>3</v>
      </c>
      <c r="D362" s="116">
        <v>0.000736174661339034</v>
      </c>
      <c r="E362" s="116">
        <v>0.666801518125769</v>
      </c>
      <c r="F362" s="114" t="s">
        <v>2559</v>
      </c>
      <c r="G362" s="114" t="b">
        <v>0</v>
      </c>
      <c r="H362" s="114" t="b">
        <v>0</v>
      </c>
      <c r="I362" s="114" t="b">
        <v>0</v>
      </c>
      <c r="J362" s="114" t="b">
        <v>0</v>
      </c>
      <c r="K362" s="114" t="b">
        <v>0</v>
      </c>
      <c r="L362" s="114" t="b">
        <v>0</v>
      </c>
    </row>
    <row r="363" spans="1:12" ht="15">
      <c r="A363" s="114" t="s">
        <v>1940</v>
      </c>
      <c r="B363" s="114" t="s">
        <v>2160</v>
      </c>
      <c r="C363" s="114">
        <v>3</v>
      </c>
      <c r="D363" s="116">
        <v>0.0008028422253429518</v>
      </c>
      <c r="E363" s="116">
        <v>3.106134211956032</v>
      </c>
      <c r="F363" s="114" t="s">
        <v>2559</v>
      </c>
      <c r="G363" s="114" t="b">
        <v>0</v>
      </c>
      <c r="H363" s="114" t="b">
        <v>0</v>
      </c>
      <c r="I363" s="114" t="b">
        <v>0</v>
      </c>
      <c r="J363" s="114" t="b">
        <v>0</v>
      </c>
      <c r="K363" s="114" t="b">
        <v>0</v>
      </c>
      <c r="L363" s="114" t="b">
        <v>0</v>
      </c>
    </row>
    <row r="364" spans="1:12" ht="15">
      <c r="A364" s="114" t="s">
        <v>2055</v>
      </c>
      <c r="B364" s="114" t="s">
        <v>2161</v>
      </c>
      <c r="C364" s="114">
        <v>3</v>
      </c>
      <c r="D364" s="116">
        <v>0.000736174661339034</v>
      </c>
      <c r="E364" s="116">
        <v>3.2822254710117127</v>
      </c>
      <c r="F364" s="114" t="s">
        <v>2559</v>
      </c>
      <c r="G364" s="114" t="b">
        <v>0</v>
      </c>
      <c r="H364" s="114" t="b">
        <v>0</v>
      </c>
      <c r="I364" s="114" t="b">
        <v>0</v>
      </c>
      <c r="J364" s="114" t="b">
        <v>0</v>
      </c>
      <c r="K364" s="114" t="b">
        <v>0</v>
      </c>
      <c r="L364" s="114" t="b">
        <v>0</v>
      </c>
    </row>
    <row r="365" spans="1:12" ht="15">
      <c r="A365" s="114" t="s">
        <v>2161</v>
      </c>
      <c r="B365" s="114" t="s">
        <v>2162</v>
      </c>
      <c r="C365" s="114">
        <v>3</v>
      </c>
      <c r="D365" s="116">
        <v>0.000736174661339034</v>
      </c>
      <c r="E365" s="116">
        <v>3.4071642076200126</v>
      </c>
      <c r="F365" s="114" t="s">
        <v>2559</v>
      </c>
      <c r="G365" s="114" t="b">
        <v>0</v>
      </c>
      <c r="H365" s="114" t="b">
        <v>0</v>
      </c>
      <c r="I365" s="114" t="b">
        <v>0</v>
      </c>
      <c r="J365" s="114" t="b">
        <v>0</v>
      </c>
      <c r="K365" s="114" t="b">
        <v>0</v>
      </c>
      <c r="L365" s="114" t="b">
        <v>0</v>
      </c>
    </row>
    <row r="366" spans="1:12" ht="15">
      <c r="A366" s="114" t="s">
        <v>2162</v>
      </c>
      <c r="B366" s="114" t="s">
        <v>2056</v>
      </c>
      <c r="C366" s="114">
        <v>3</v>
      </c>
      <c r="D366" s="116">
        <v>0.000736174661339034</v>
      </c>
      <c r="E366" s="116">
        <v>3.2822254710117127</v>
      </c>
      <c r="F366" s="114" t="s">
        <v>2559</v>
      </c>
      <c r="G366" s="114" t="b">
        <v>0</v>
      </c>
      <c r="H366" s="114" t="b">
        <v>0</v>
      </c>
      <c r="I366" s="114" t="b">
        <v>0</v>
      </c>
      <c r="J366" s="114" t="b">
        <v>0</v>
      </c>
      <c r="K366" s="114" t="b">
        <v>0</v>
      </c>
      <c r="L366" s="114" t="b">
        <v>0</v>
      </c>
    </row>
    <row r="367" spans="1:12" ht="15">
      <c r="A367" s="114" t="s">
        <v>2061</v>
      </c>
      <c r="B367" s="114" t="s">
        <v>2163</v>
      </c>
      <c r="C367" s="114">
        <v>3</v>
      </c>
      <c r="D367" s="116">
        <v>0.000736174661339034</v>
      </c>
      <c r="E367" s="116">
        <v>3.2822254710117127</v>
      </c>
      <c r="F367" s="114" t="s">
        <v>2559</v>
      </c>
      <c r="G367" s="114" t="b">
        <v>0</v>
      </c>
      <c r="H367" s="114" t="b">
        <v>0</v>
      </c>
      <c r="I367" s="114" t="b">
        <v>0</v>
      </c>
      <c r="J367" s="114" t="b">
        <v>0</v>
      </c>
      <c r="K367" s="114" t="b">
        <v>0</v>
      </c>
      <c r="L367" s="114" t="b">
        <v>0</v>
      </c>
    </row>
    <row r="368" spans="1:12" ht="15">
      <c r="A368" s="114" t="s">
        <v>2163</v>
      </c>
      <c r="B368" s="114" t="s">
        <v>2164</v>
      </c>
      <c r="C368" s="114">
        <v>3</v>
      </c>
      <c r="D368" s="116">
        <v>0.000736174661339034</v>
      </c>
      <c r="E368" s="116">
        <v>3.4071642076200126</v>
      </c>
      <c r="F368" s="114" t="s">
        <v>2559</v>
      </c>
      <c r="G368" s="114" t="b">
        <v>0</v>
      </c>
      <c r="H368" s="114" t="b">
        <v>0</v>
      </c>
      <c r="I368" s="114" t="b">
        <v>0</v>
      </c>
      <c r="J368" s="114" t="b">
        <v>0</v>
      </c>
      <c r="K368" s="114" t="b">
        <v>0</v>
      </c>
      <c r="L368" s="114" t="b">
        <v>0</v>
      </c>
    </row>
    <row r="369" spans="1:12" ht="15">
      <c r="A369" s="114" t="s">
        <v>1966</v>
      </c>
      <c r="B369" s="114" t="s">
        <v>2165</v>
      </c>
      <c r="C369" s="114">
        <v>3</v>
      </c>
      <c r="D369" s="116">
        <v>0.000736174661339034</v>
      </c>
      <c r="E369" s="116">
        <v>3.106134211956032</v>
      </c>
      <c r="F369" s="114" t="s">
        <v>2559</v>
      </c>
      <c r="G369" s="114" t="b">
        <v>0</v>
      </c>
      <c r="H369" s="114" t="b">
        <v>0</v>
      </c>
      <c r="I369" s="114" t="b">
        <v>0</v>
      </c>
      <c r="J369" s="114" t="b">
        <v>0</v>
      </c>
      <c r="K369" s="114" t="b">
        <v>0</v>
      </c>
      <c r="L369" s="114" t="b">
        <v>0</v>
      </c>
    </row>
    <row r="370" spans="1:12" ht="15">
      <c r="A370" s="114" t="s">
        <v>2165</v>
      </c>
      <c r="B370" s="114" t="s">
        <v>2166</v>
      </c>
      <c r="C370" s="114">
        <v>3</v>
      </c>
      <c r="D370" s="116">
        <v>0.000736174661339034</v>
      </c>
      <c r="E370" s="116">
        <v>3.4071642076200126</v>
      </c>
      <c r="F370" s="114" t="s">
        <v>2559</v>
      </c>
      <c r="G370" s="114" t="b">
        <v>0</v>
      </c>
      <c r="H370" s="114" t="b">
        <v>0</v>
      </c>
      <c r="I370" s="114" t="b">
        <v>0</v>
      </c>
      <c r="J370" s="114" t="b">
        <v>0</v>
      </c>
      <c r="K370" s="114" t="b">
        <v>0</v>
      </c>
      <c r="L370" s="114" t="b">
        <v>0</v>
      </c>
    </row>
    <row r="371" spans="1:12" ht="15">
      <c r="A371" s="114" t="s">
        <v>2166</v>
      </c>
      <c r="B371" s="114" t="s">
        <v>1999</v>
      </c>
      <c r="C371" s="114">
        <v>3</v>
      </c>
      <c r="D371" s="116">
        <v>0.000736174661339034</v>
      </c>
      <c r="E371" s="116">
        <v>3.1853154580036565</v>
      </c>
      <c r="F371" s="114" t="s">
        <v>2559</v>
      </c>
      <c r="G371" s="114" t="b">
        <v>0</v>
      </c>
      <c r="H371" s="114" t="b">
        <v>0</v>
      </c>
      <c r="I371" s="114" t="b">
        <v>0</v>
      </c>
      <c r="J371" s="114" t="b">
        <v>0</v>
      </c>
      <c r="K371" s="114" t="b">
        <v>0</v>
      </c>
      <c r="L371" s="114" t="b">
        <v>0</v>
      </c>
    </row>
    <row r="372" spans="1:12" ht="15">
      <c r="A372" s="114" t="s">
        <v>1823</v>
      </c>
      <c r="B372" s="114" t="s">
        <v>1823</v>
      </c>
      <c r="C372" s="114">
        <v>3</v>
      </c>
      <c r="D372" s="116">
        <v>0.000736174661339034</v>
      </c>
      <c r="E372" s="116">
        <v>2.133520012445664</v>
      </c>
      <c r="F372" s="114" t="s">
        <v>2559</v>
      </c>
      <c r="G372" s="114" t="b">
        <v>0</v>
      </c>
      <c r="H372" s="114" t="b">
        <v>0</v>
      </c>
      <c r="I372" s="114" t="b">
        <v>0</v>
      </c>
      <c r="J372" s="114" t="b">
        <v>0</v>
      </c>
      <c r="K372" s="114" t="b">
        <v>0</v>
      </c>
      <c r="L372" s="114" t="b">
        <v>0</v>
      </c>
    </row>
    <row r="373" spans="1:12" ht="15">
      <c r="A373" s="114" t="s">
        <v>2168</v>
      </c>
      <c r="B373" s="114" t="s">
        <v>2169</v>
      </c>
      <c r="C373" s="114">
        <v>3</v>
      </c>
      <c r="D373" s="116">
        <v>0.000736174661339034</v>
      </c>
      <c r="E373" s="116">
        <v>3.4071642076200126</v>
      </c>
      <c r="F373" s="114" t="s">
        <v>2559</v>
      </c>
      <c r="G373" s="114" t="b">
        <v>0</v>
      </c>
      <c r="H373" s="114" t="b">
        <v>0</v>
      </c>
      <c r="I373" s="114" t="b">
        <v>0</v>
      </c>
      <c r="J373" s="114" t="b">
        <v>0</v>
      </c>
      <c r="K373" s="114" t="b">
        <v>0</v>
      </c>
      <c r="L373" s="114" t="b">
        <v>0</v>
      </c>
    </row>
    <row r="374" spans="1:12" ht="15">
      <c r="A374" s="114" t="s">
        <v>2170</v>
      </c>
      <c r="B374" s="114" t="s">
        <v>1918</v>
      </c>
      <c r="C374" s="114">
        <v>3</v>
      </c>
      <c r="D374" s="116">
        <v>0.000736174661339034</v>
      </c>
      <c r="E374" s="116">
        <v>2.9811954753477314</v>
      </c>
      <c r="F374" s="114" t="s">
        <v>2559</v>
      </c>
      <c r="G374" s="114" t="b">
        <v>0</v>
      </c>
      <c r="H374" s="114" t="b">
        <v>0</v>
      </c>
      <c r="I374" s="114" t="b">
        <v>0</v>
      </c>
      <c r="J374" s="114" t="b">
        <v>0</v>
      </c>
      <c r="K374" s="114" t="b">
        <v>0</v>
      </c>
      <c r="L374" s="114" t="b">
        <v>0</v>
      </c>
    </row>
    <row r="375" spans="1:12" ht="15">
      <c r="A375" s="114" t="s">
        <v>1742</v>
      </c>
      <c r="B375" s="114" t="s">
        <v>2171</v>
      </c>
      <c r="C375" s="114">
        <v>3</v>
      </c>
      <c r="D375" s="116">
        <v>0.0008028422253429518</v>
      </c>
      <c r="E375" s="116">
        <v>1.5150696049295325</v>
      </c>
      <c r="F375" s="114" t="s">
        <v>2559</v>
      </c>
      <c r="G375" s="114" t="b">
        <v>0</v>
      </c>
      <c r="H375" s="114" t="b">
        <v>0</v>
      </c>
      <c r="I375" s="114" t="b">
        <v>0</v>
      </c>
      <c r="J375" s="114" t="b">
        <v>0</v>
      </c>
      <c r="K375" s="114" t="b">
        <v>0</v>
      </c>
      <c r="L375" s="114" t="b">
        <v>0</v>
      </c>
    </row>
    <row r="376" spans="1:12" ht="15">
      <c r="A376" s="114" t="s">
        <v>2172</v>
      </c>
      <c r="B376" s="114" t="s">
        <v>1938</v>
      </c>
      <c r="C376" s="114">
        <v>3</v>
      </c>
      <c r="D376" s="116">
        <v>0.000736174661339034</v>
      </c>
      <c r="E376" s="116">
        <v>3.0391874223254183</v>
      </c>
      <c r="F376" s="114" t="s">
        <v>2559</v>
      </c>
      <c r="G376" s="114" t="b">
        <v>0</v>
      </c>
      <c r="H376" s="114" t="b">
        <v>0</v>
      </c>
      <c r="I376" s="114" t="b">
        <v>0</v>
      </c>
      <c r="J376" s="114" t="b">
        <v>0</v>
      </c>
      <c r="K376" s="114" t="b">
        <v>0</v>
      </c>
      <c r="L376" s="114" t="b">
        <v>0</v>
      </c>
    </row>
    <row r="377" spans="1:12" ht="15">
      <c r="A377" s="114" t="s">
        <v>2064</v>
      </c>
      <c r="B377" s="114" t="s">
        <v>1740</v>
      </c>
      <c r="C377" s="114">
        <v>3</v>
      </c>
      <c r="D377" s="116">
        <v>0.000736174661339034</v>
      </c>
      <c r="E377" s="116">
        <v>1.194680661479286</v>
      </c>
      <c r="F377" s="114" t="s">
        <v>2559</v>
      </c>
      <c r="G377" s="114" t="b">
        <v>0</v>
      </c>
      <c r="H377" s="114" t="b">
        <v>0</v>
      </c>
      <c r="I377" s="114" t="b">
        <v>0</v>
      </c>
      <c r="J377" s="114" t="b">
        <v>0</v>
      </c>
      <c r="K377" s="114" t="b">
        <v>0</v>
      </c>
      <c r="L377" s="114" t="b">
        <v>0</v>
      </c>
    </row>
    <row r="378" spans="1:12" ht="15">
      <c r="A378" s="114" t="s">
        <v>2173</v>
      </c>
      <c r="B378" s="114" t="s">
        <v>2066</v>
      </c>
      <c r="C378" s="114">
        <v>3</v>
      </c>
      <c r="D378" s="116">
        <v>0.0008028422253429518</v>
      </c>
      <c r="E378" s="116">
        <v>3.2822254710117127</v>
      </c>
      <c r="F378" s="114" t="s">
        <v>2559</v>
      </c>
      <c r="G378" s="114" t="b">
        <v>0</v>
      </c>
      <c r="H378" s="114" t="b">
        <v>0</v>
      </c>
      <c r="I378" s="114" t="b">
        <v>0</v>
      </c>
      <c r="J378" s="114" t="b">
        <v>0</v>
      </c>
      <c r="K378" s="114" t="b">
        <v>0</v>
      </c>
      <c r="L378" s="114" t="b">
        <v>0</v>
      </c>
    </row>
    <row r="379" spans="1:12" ht="15">
      <c r="A379" s="114" t="s">
        <v>2180</v>
      </c>
      <c r="B379" s="114" t="s">
        <v>2003</v>
      </c>
      <c r="C379" s="114">
        <v>3</v>
      </c>
      <c r="D379" s="116">
        <v>0.000736174661339034</v>
      </c>
      <c r="E379" s="116">
        <v>3.1853154580036565</v>
      </c>
      <c r="F379" s="114" t="s">
        <v>2559</v>
      </c>
      <c r="G379" s="114" t="b">
        <v>0</v>
      </c>
      <c r="H379" s="114" t="b">
        <v>0</v>
      </c>
      <c r="I379" s="114" t="b">
        <v>0</v>
      </c>
      <c r="J379" s="114" t="b">
        <v>0</v>
      </c>
      <c r="K379" s="114" t="b">
        <v>0</v>
      </c>
      <c r="L379" s="114" t="b">
        <v>0</v>
      </c>
    </row>
    <row r="380" spans="1:12" ht="15">
      <c r="A380" s="114" t="s">
        <v>1742</v>
      </c>
      <c r="B380" s="114" t="s">
        <v>1740</v>
      </c>
      <c r="C380" s="114">
        <v>3</v>
      </c>
      <c r="D380" s="116">
        <v>0.000736174661339034</v>
      </c>
      <c r="E380" s="116">
        <v>-0.5724752046028946</v>
      </c>
      <c r="F380" s="114" t="s">
        <v>2559</v>
      </c>
      <c r="G380" s="114" t="b">
        <v>0</v>
      </c>
      <c r="H380" s="114" t="b">
        <v>0</v>
      </c>
      <c r="I380" s="114" t="b">
        <v>0</v>
      </c>
      <c r="J380" s="114" t="b">
        <v>0</v>
      </c>
      <c r="K380" s="114" t="b">
        <v>0</v>
      </c>
      <c r="L380" s="114" t="b">
        <v>0</v>
      </c>
    </row>
    <row r="381" spans="1:12" ht="15">
      <c r="A381" s="114" t="s">
        <v>1750</v>
      </c>
      <c r="B381" s="114" t="s">
        <v>1742</v>
      </c>
      <c r="C381" s="114">
        <v>3</v>
      </c>
      <c r="D381" s="116">
        <v>0.0008028422253429518</v>
      </c>
      <c r="E381" s="116">
        <v>0.3243788373035627</v>
      </c>
      <c r="F381" s="114" t="s">
        <v>2559</v>
      </c>
      <c r="G381" s="114" t="b">
        <v>0</v>
      </c>
      <c r="H381" s="114" t="b">
        <v>0</v>
      </c>
      <c r="I381" s="114" t="b">
        <v>0</v>
      </c>
      <c r="J381" s="114" t="b">
        <v>0</v>
      </c>
      <c r="K381" s="114" t="b">
        <v>0</v>
      </c>
      <c r="L381" s="114" t="b">
        <v>0</v>
      </c>
    </row>
    <row r="382" spans="1:12" ht="15">
      <c r="A382" s="114" t="s">
        <v>1742</v>
      </c>
      <c r="B382" s="114" t="s">
        <v>1807</v>
      </c>
      <c r="C382" s="114">
        <v>3</v>
      </c>
      <c r="D382" s="116">
        <v>0.000736174661339034</v>
      </c>
      <c r="E382" s="116">
        <v>0.78807087699327</v>
      </c>
      <c r="F382" s="114" t="s">
        <v>2559</v>
      </c>
      <c r="G382" s="114" t="b">
        <v>0</v>
      </c>
      <c r="H382" s="114" t="b">
        <v>0</v>
      </c>
      <c r="I382" s="114" t="b">
        <v>0</v>
      </c>
      <c r="J382" s="114" t="b">
        <v>0</v>
      </c>
      <c r="K382" s="114" t="b">
        <v>0</v>
      </c>
      <c r="L382" s="114" t="b">
        <v>0</v>
      </c>
    </row>
    <row r="383" spans="1:12" ht="15">
      <c r="A383" s="114" t="s">
        <v>1987</v>
      </c>
      <c r="B383" s="114" t="s">
        <v>1739</v>
      </c>
      <c r="C383" s="114">
        <v>3</v>
      </c>
      <c r="D383" s="116">
        <v>0.000736174661339034</v>
      </c>
      <c r="E383" s="116">
        <v>0.9793896744844693</v>
      </c>
      <c r="F383" s="114" t="s">
        <v>2559</v>
      </c>
      <c r="G383" s="114" t="b">
        <v>0</v>
      </c>
      <c r="H383" s="114" t="b">
        <v>0</v>
      </c>
      <c r="I383" s="114" t="b">
        <v>0</v>
      </c>
      <c r="J383" s="114" t="b">
        <v>0</v>
      </c>
      <c r="K383" s="114" t="b">
        <v>0</v>
      </c>
      <c r="L383" s="114" t="b">
        <v>0</v>
      </c>
    </row>
    <row r="384" spans="1:12" ht="15">
      <c r="A384" s="114" t="s">
        <v>1746</v>
      </c>
      <c r="B384" s="114" t="s">
        <v>1741</v>
      </c>
      <c r="C384" s="114">
        <v>3</v>
      </c>
      <c r="D384" s="116">
        <v>0.000736174661339034</v>
      </c>
      <c r="E384" s="116">
        <v>0.0103838644752139</v>
      </c>
      <c r="F384" s="114" t="s">
        <v>2559</v>
      </c>
      <c r="G384" s="114" t="b">
        <v>0</v>
      </c>
      <c r="H384" s="114" t="b">
        <v>1</v>
      </c>
      <c r="I384" s="114" t="b">
        <v>0</v>
      </c>
      <c r="J384" s="114" t="b">
        <v>0</v>
      </c>
      <c r="K384" s="114" t="b">
        <v>0</v>
      </c>
      <c r="L384" s="114" t="b">
        <v>0</v>
      </c>
    </row>
    <row r="385" spans="1:12" ht="15">
      <c r="A385" s="114" t="s">
        <v>1743</v>
      </c>
      <c r="B385" s="114" t="s">
        <v>1760</v>
      </c>
      <c r="C385" s="114">
        <v>3</v>
      </c>
      <c r="D385" s="116">
        <v>0.000736174661339034</v>
      </c>
      <c r="E385" s="116">
        <v>0.5178625051137026</v>
      </c>
      <c r="F385" s="114" t="s">
        <v>2559</v>
      </c>
      <c r="G385" s="114" t="b">
        <v>0</v>
      </c>
      <c r="H385" s="114" t="b">
        <v>0</v>
      </c>
      <c r="I385" s="114" t="b">
        <v>0</v>
      </c>
      <c r="J385" s="114" t="b">
        <v>0</v>
      </c>
      <c r="K385" s="114" t="b">
        <v>0</v>
      </c>
      <c r="L385" s="114" t="b">
        <v>0</v>
      </c>
    </row>
    <row r="386" spans="1:12" ht="15">
      <c r="A386" s="114" t="s">
        <v>1760</v>
      </c>
      <c r="B386" s="114" t="s">
        <v>1739</v>
      </c>
      <c r="C386" s="114">
        <v>3</v>
      </c>
      <c r="D386" s="116">
        <v>0.0008028422253429518</v>
      </c>
      <c r="E386" s="116">
        <v>0.215961680921532</v>
      </c>
      <c r="F386" s="114" t="s">
        <v>2559</v>
      </c>
      <c r="G386" s="114" t="b">
        <v>0</v>
      </c>
      <c r="H386" s="114" t="b">
        <v>0</v>
      </c>
      <c r="I386" s="114" t="b">
        <v>0</v>
      </c>
      <c r="J386" s="114" t="b">
        <v>0</v>
      </c>
      <c r="K386" s="114" t="b">
        <v>0</v>
      </c>
      <c r="L386" s="114" t="b">
        <v>0</v>
      </c>
    </row>
    <row r="387" spans="1:12" ht="15">
      <c r="A387" s="114" t="s">
        <v>1792</v>
      </c>
      <c r="B387" s="114" t="s">
        <v>1776</v>
      </c>
      <c r="C387" s="114">
        <v>3</v>
      </c>
      <c r="D387" s="116">
        <v>0.000736174661339034</v>
      </c>
      <c r="E387" s="116">
        <v>1.7692299596634709</v>
      </c>
      <c r="F387" s="114" t="s">
        <v>2559</v>
      </c>
      <c r="G387" s="114" t="b">
        <v>0</v>
      </c>
      <c r="H387" s="114" t="b">
        <v>0</v>
      </c>
      <c r="I387" s="114" t="b">
        <v>0</v>
      </c>
      <c r="J387" s="114" t="b">
        <v>0</v>
      </c>
      <c r="K387" s="114" t="b">
        <v>0</v>
      </c>
      <c r="L387" s="114" t="b">
        <v>0</v>
      </c>
    </row>
    <row r="388" spans="1:12" ht="15">
      <c r="A388" s="114" t="s">
        <v>1839</v>
      </c>
      <c r="B388" s="114" t="s">
        <v>1920</v>
      </c>
      <c r="C388" s="114">
        <v>3</v>
      </c>
      <c r="D388" s="116">
        <v>0.0009168111787745449</v>
      </c>
      <c r="E388" s="116">
        <v>2.3791354840197694</v>
      </c>
      <c r="F388" s="114" t="s">
        <v>2559</v>
      </c>
      <c r="G388" s="114" t="b">
        <v>0</v>
      </c>
      <c r="H388" s="114" t="b">
        <v>0</v>
      </c>
      <c r="I388" s="114" t="b">
        <v>0</v>
      </c>
      <c r="J388" s="114" t="b">
        <v>0</v>
      </c>
      <c r="K388" s="114" t="b">
        <v>0</v>
      </c>
      <c r="L388" s="114" t="b">
        <v>0</v>
      </c>
    </row>
    <row r="389" spans="1:12" ht="15">
      <c r="A389" s="114" t="s">
        <v>1745</v>
      </c>
      <c r="B389" s="114" t="s">
        <v>1879</v>
      </c>
      <c r="C389" s="114">
        <v>3</v>
      </c>
      <c r="D389" s="116">
        <v>0.000736174661339034</v>
      </c>
      <c r="E389" s="116">
        <v>1.4071642076200128</v>
      </c>
      <c r="F389" s="114" t="s">
        <v>2559</v>
      </c>
      <c r="G389" s="114" t="b">
        <v>0</v>
      </c>
      <c r="H389" s="114" t="b">
        <v>0</v>
      </c>
      <c r="I389" s="114" t="b">
        <v>0</v>
      </c>
      <c r="J389" s="114" t="b">
        <v>0</v>
      </c>
      <c r="K389" s="114" t="b">
        <v>0</v>
      </c>
      <c r="L389" s="114" t="b">
        <v>0</v>
      </c>
    </row>
    <row r="390" spans="1:12" ht="15">
      <c r="A390" s="114" t="s">
        <v>1827</v>
      </c>
      <c r="B390" s="114" t="s">
        <v>1770</v>
      </c>
      <c r="C390" s="114">
        <v>3</v>
      </c>
      <c r="D390" s="116">
        <v>0.000736174661339034</v>
      </c>
      <c r="E390" s="116">
        <v>1.8842854623396752</v>
      </c>
      <c r="F390" s="114" t="s">
        <v>2559</v>
      </c>
      <c r="G390" s="114" t="b">
        <v>0</v>
      </c>
      <c r="H390" s="114" t="b">
        <v>0</v>
      </c>
      <c r="I390" s="114" t="b">
        <v>0</v>
      </c>
      <c r="J390" s="114" t="b">
        <v>0</v>
      </c>
      <c r="K390" s="114" t="b">
        <v>0</v>
      </c>
      <c r="L390" s="114" t="b">
        <v>0</v>
      </c>
    </row>
    <row r="391" spans="1:12" ht="15">
      <c r="A391" s="114" t="s">
        <v>1920</v>
      </c>
      <c r="B391" s="114" t="s">
        <v>1765</v>
      </c>
      <c r="C391" s="114">
        <v>3</v>
      </c>
      <c r="D391" s="116">
        <v>0.0009168111787745449</v>
      </c>
      <c r="E391" s="116">
        <v>2.0433433820965763</v>
      </c>
      <c r="F391" s="114" t="s">
        <v>2559</v>
      </c>
      <c r="G391" s="114" t="b">
        <v>0</v>
      </c>
      <c r="H391" s="114" t="b">
        <v>0</v>
      </c>
      <c r="I391" s="114" t="b">
        <v>0</v>
      </c>
      <c r="J391" s="114" t="b">
        <v>0</v>
      </c>
      <c r="K391" s="114" t="b">
        <v>0</v>
      </c>
      <c r="L391" s="114" t="b">
        <v>0</v>
      </c>
    </row>
    <row r="392" spans="1:12" ht="15">
      <c r="A392" s="114" t="s">
        <v>1739</v>
      </c>
      <c r="B392" s="114" t="s">
        <v>1824</v>
      </c>
      <c r="C392" s="114">
        <v>3</v>
      </c>
      <c r="D392" s="116">
        <v>0.000736174661339034</v>
      </c>
      <c r="E392" s="116">
        <v>0.5528581658189322</v>
      </c>
      <c r="F392" s="114" t="s">
        <v>2559</v>
      </c>
      <c r="G392" s="114" t="b">
        <v>0</v>
      </c>
      <c r="H392" s="114" t="b">
        <v>0</v>
      </c>
      <c r="I392" s="114" t="b">
        <v>0</v>
      </c>
      <c r="J392" s="114" t="b">
        <v>0</v>
      </c>
      <c r="K392" s="114" t="b">
        <v>0</v>
      </c>
      <c r="L392" s="114" t="b">
        <v>0</v>
      </c>
    </row>
    <row r="393" spans="1:12" ht="15">
      <c r="A393" s="114" t="s">
        <v>2188</v>
      </c>
      <c r="B393" s="114" t="s">
        <v>1800</v>
      </c>
      <c r="C393" s="114">
        <v>3</v>
      </c>
      <c r="D393" s="116">
        <v>0.000736174661339034</v>
      </c>
      <c r="E393" s="116">
        <v>2.6538365409614015</v>
      </c>
      <c r="F393" s="114" t="s">
        <v>2559</v>
      </c>
      <c r="G393" s="114" t="b">
        <v>0</v>
      </c>
      <c r="H393" s="114" t="b">
        <v>0</v>
      </c>
      <c r="I393" s="114" t="b">
        <v>0</v>
      </c>
      <c r="J393" s="114" t="b">
        <v>0</v>
      </c>
      <c r="K393" s="114" t="b">
        <v>0</v>
      </c>
      <c r="L393" s="114" t="b">
        <v>0</v>
      </c>
    </row>
    <row r="394" spans="1:12" ht="15">
      <c r="A394" s="114" t="s">
        <v>1800</v>
      </c>
      <c r="B394" s="114" t="s">
        <v>1919</v>
      </c>
      <c r="C394" s="114">
        <v>3</v>
      </c>
      <c r="D394" s="116">
        <v>0.000736174661339034</v>
      </c>
      <c r="E394" s="116">
        <v>2.22786780868912</v>
      </c>
      <c r="F394" s="114" t="s">
        <v>2559</v>
      </c>
      <c r="G394" s="114" t="b">
        <v>0</v>
      </c>
      <c r="H394" s="114" t="b">
        <v>0</v>
      </c>
      <c r="I394" s="114" t="b">
        <v>0</v>
      </c>
      <c r="J394" s="114" t="b">
        <v>0</v>
      </c>
      <c r="K394" s="114" t="b">
        <v>0</v>
      </c>
      <c r="L394" s="114" t="b">
        <v>0</v>
      </c>
    </row>
    <row r="395" spans="1:12" ht="15">
      <c r="A395" s="114" t="s">
        <v>1919</v>
      </c>
      <c r="B395" s="114" t="s">
        <v>1784</v>
      </c>
      <c r="C395" s="114">
        <v>3</v>
      </c>
      <c r="D395" s="116">
        <v>0.000736174661339034</v>
      </c>
      <c r="E395" s="116">
        <v>2.136097435333475</v>
      </c>
      <c r="F395" s="114" t="s">
        <v>2559</v>
      </c>
      <c r="G395" s="114" t="b">
        <v>0</v>
      </c>
      <c r="H395" s="114" t="b">
        <v>0</v>
      </c>
      <c r="I395" s="114" t="b">
        <v>0</v>
      </c>
      <c r="J395" s="114" t="b">
        <v>0</v>
      </c>
      <c r="K395" s="114" t="b">
        <v>0</v>
      </c>
      <c r="L395" s="114" t="b">
        <v>0</v>
      </c>
    </row>
    <row r="396" spans="1:12" ht="15">
      <c r="A396" s="114" t="s">
        <v>1747</v>
      </c>
      <c r="B396" s="114" t="s">
        <v>1758</v>
      </c>
      <c r="C396" s="114">
        <v>3</v>
      </c>
      <c r="D396" s="116">
        <v>0.000736174661339034</v>
      </c>
      <c r="E396" s="116">
        <v>0.992190859649195</v>
      </c>
      <c r="F396" s="114" t="s">
        <v>2559</v>
      </c>
      <c r="G396" s="114" t="b">
        <v>0</v>
      </c>
      <c r="H396" s="114" t="b">
        <v>0</v>
      </c>
      <c r="I396" s="114" t="b">
        <v>0</v>
      </c>
      <c r="J396" s="114" t="b">
        <v>0</v>
      </c>
      <c r="K396" s="114" t="b">
        <v>0</v>
      </c>
      <c r="L396" s="114" t="b">
        <v>0</v>
      </c>
    </row>
    <row r="397" spans="1:12" ht="15">
      <c r="A397" s="114" t="s">
        <v>1902</v>
      </c>
      <c r="B397" s="114" t="s">
        <v>1741</v>
      </c>
      <c r="C397" s="114">
        <v>3</v>
      </c>
      <c r="D397" s="116">
        <v>0.000736174661339034</v>
      </c>
      <c r="E397" s="116">
        <v>0.9855602807501818</v>
      </c>
      <c r="F397" s="114" t="s">
        <v>2559</v>
      </c>
      <c r="G397" s="114" t="b">
        <v>0</v>
      </c>
      <c r="H397" s="114" t="b">
        <v>0</v>
      </c>
      <c r="I397" s="114" t="b">
        <v>0</v>
      </c>
      <c r="J397" s="114" t="b">
        <v>0</v>
      </c>
      <c r="K397" s="114" t="b">
        <v>0</v>
      </c>
      <c r="L397" s="114" t="b">
        <v>0</v>
      </c>
    </row>
    <row r="398" spans="1:12" ht="15">
      <c r="A398" s="114" t="s">
        <v>1838</v>
      </c>
      <c r="B398" s="114" t="s">
        <v>1902</v>
      </c>
      <c r="C398" s="114">
        <v>3</v>
      </c>
      <c r="D398" s="116">
        <v>0.000736174661339034</v>
      </c>
      <c r="E398" s="116">
        <v>2.327982961572388</v>
      </c>
      <c r="F398" s="114" t="s">
        <v>2559</v>
      </c>
      <c r="G398" s="114" t="b">
        <v>0</v>
      </c>
      <c r="H398" s="114" t="b">
        <v>0</v>
      </c>
      <c r="I398" s="114" t="b">
        <v>0</v>
      </c>
      <c r="J398" s="114" t="b">
        <v>0</v>
      </c>
      <c r="K398" s="114" t="b">
        <v>0</v>
      </c>
      <c r="L398" s="114" t="b">
        <v>0</v>
      </c>
    </row>
    <row r="399" spans="1:12" ht="15">
      <c r="A399" s="114" t="s">
        <v>1771</v>
      </c>
      <c r="B399" s="114" t="s">
        <v>1741</v>
      </c>
      <c r="C399" s="114">
        <v>3</v>
      </c>
      <c r="D399" s="116">
        <v>0.0008028422253429518</v>
      </c>
      <c r="E399" s="116">
        <v>0.5595915484779006</v>
      </c>
      <c r="F399" s="114" t="s">
        <v>2559</v>
      </c>
      <c r="G399" s="114" t="b">
        <v>0</v>
      </c>
      <c r="H399" s="114" t="b">
        <v>1</v>
      </c>
      <c r="I399" s="114" t="b">
        <v>0</v>
      </c>
      <c r="J399" s="114" t="b">
        <v>0</v>
      </c>
      <c r="K399" s="114" t="b">
        <v>0</v>
      </c>
      <c r="L399" s="114" t="b">
        <v>0</v>
      </c>
    </row>
    <row r="400" spans="1:12" ht="15">
      <c r="A400" s="114" t="s">
        <v>1895</v>
      </c>
      <c r="B400" s="114" t="s">
        <v>1774</v>
      </c>
      <c r="C400" s="114">
        <v>3</v>
      </c>
      <c r="D400" s="116">
        <v>0.000736174661339034</v>
      </c>
      <c r="E400" s="116">
        <v>2.04543637160242</v>
      </c>
      <c r="F400" s="114" t="s">
        <v>2559</v>
      </c>
      <c r="G400" s="114" t="b">
        <v>0</v>
      </c>
      <c r="H400" s="114" t="b">
        <v>0</v>
      </c>
      <c r="I400" s="114" t="b">
        <v>0</v>
      </c>
      <c r="J400" s="114" t="b">
        <v>0</v>
      </c>
      <c r="K400" s="114" t="b">
        <v>1</v>
      </c>
      <c r="L400" s="114" t="b">
        <v>0</v>
      </c>
    </row>
    <row r="401" spans="1:12" ht="15">
      <c r="A401" s="114" t="s">
        <v>2078</v>
      </c>
      <c r="B401" s="114" t="s">
        <v>2191</v>
      </c>
      <c r="C401" s="114">
        <v>3</v>
      </c>
      <c r="D401" s="116">
        <v>0.0009168111787745449</v>
      </c>
      <c r="E401" s="116">
        <v>3.2822254710117127</v>
      </c>
      <c r="F401" s="114" t="s">
        <v>2559</v>
      </c>
      <c r="G401" s="114" t="b">
        <v>0</v>
      </c>
      <c r="H401" s="114" t="b">
        <v>0</v>
      </c>
      <c r="I401" s="114" t="b">
        <v>0</v>
      </c>
      <c r="J401" s="114" t="b">
        <v>0</v>
      </c>
      <c r="K401" s="114" t="b">
        <v>0</v>
      </c>
      <c r="L401" s="114" t="b">
        <v>0</v>
      </c>
    </row>
    <row r="402" spans="1:12" ht="15">
      <c r="A402" s="114" t="s">
        <v>1967</v>
      </c>
      <c r="B402" s="114" t="s">
        <v>2008</v>
      </c>
      <c r="C402" s="114">
        <v>3</v>
      </c>
      <c r="D402" s="116">
        <v>0.0008028422253429518</v>
      </c>
      <c r="E402" s="116">
        <v>2.884285462339675</v>
      </c>
      <c r="F402" s="114" t="s">
        <v>2559</v>
      </c>
      <c r="G402" s="114" t="b">
        <v>0</v>
      </c>
      <c r="H402" s="114" t="b">
        <v>0</v>
      </c>
      <c r="I402" s="114" t="b">
        <v>0</v>
      </c>
      <c r="J402" s="114" t="b">
        <v>0</v>
      </c>
      <c r="K402" s="114" t="b">
        <v>0</v>
      </c>
      <c r="L402" s="114" t="b">
        <v>0</v>
      </c>
    </row>
    <row r="403" spans="1:12" ht="15">
      <c r="A403" s="114" t="s">
        <v>1740</v>
      </c>
      <c r="B403" s="114" t="s">
        <v>1747</v>
      </c>
      <c r="C403" s="114">
        <v>3</v>
      </c>
      <c r="D403" s="116">
        <v>0.0008028422253429518</v>
      </c>
      <c r="E403" s="116">
        <v>-0.10278465358166192</v>
      </c>
      <c r="F403" s="114" t="s">
        <v>2559</v>
      </c>
      <c r="G403" s="114" t="b">
        <v>0</v>
      </c>
      <c r="H403" s="114" t="b">
        <v>0</v>
      </c>
      <c r="I403" s="114" t="b">
        <v>0</v>
      </c>
      <c r="J403" s="114" t="b">
        <v>0</v>
      </c>
      <c r="K403" s="114" t="b">
        <v>0</v>
      </c>
      <c r="L403" s="114" t="b">
        <v>0</v>
      </c>
    </row>
    <row r="404" spans="1:12" ht="15">
      <c r="A404" s="114" t="s">
        <v>1747</v>
      </c>
      <c r="B404" s="114" t="s">
        <v>1755</v>
      </c>
      <c r="C404" s="114">
        <v>3</v>
      </c>
      <c r="D404" s="116">
        <v>0.000736174661339034</v>
      </c>
      <c r="E404" s="116">
        <v>0.8895285177520471</v>
      </c>
      <c r="F404" s="114" t="s">
        <v>2559</v>
      </c>
      <c r="G404" s="114" t="b">
        <v>0</v>
      </c>
      <c r="H404" s="114" t="b">
        <v>0</v>
      </c>
      <c r="I404" s="114" t="b">
        <v>0</v>
      </c>
      <c r="J404" s="114" t="b">
        <v>0</v>
      </c>
      <c r="K404" s="114" t="b">
        <v>0</v>
      </c>
      <c r="L404" s="114" t="b">
        <v>0</v>
      </c>
    </row>
    <row r="405" spans="1:12" ht="15">
      <c r="A405" s="114" t="s">
        <v>1771</v>
      </c>
      <c r="B405" s="114" t="s">
        <v>1968</v>
      </c>
      <c r="C405" s="114">
        <v>3</v>
      </c>
      <c r="D405" s="116">
        <v>0.000736174661339034</v>
      </c>
      <c r="E405" s="116">
        <v>2.203044224964088</v>
      </c>
      <c r="F405" s="114" t="s">
        <v>2559</v>
      </c>
      <c r="G405" s="114" t="b">
        <v>0</v>
      </c>
      <c r="H405" s="114" t="b">
        <v>1</v>
      </c>
      <c r="I405" s="114" t="b">
        <v>0</v>
      </c>
      <c r="J405" s="114" t="b">
        <v>0</v>
      </c>
      <c r="K405" s="114" t="b">
        <v>0</v>
      </c>
      <c r="L405" s="114" t="b">
        <v>0</v>
      </c>
    </row>
    <row r="406" spans="1:12" ht="15">
      <c r="A406" s="114" t="s">
        <v>2195</v>
      </c>
      <c r="B406" s="114" t="s">
        <v>2196</v>
      </c>
      <c r="C406" s="114">
        <v>3</v>
      </c>
      <c r="D406" s="116">
        <v>0.0009168111787745449</v>
      </c>
      <c r="E406" s="116">
        <v>3.4071642076200126</v>
      </c>
      <c r="F406" s="114" t="s">
        <v>2559</v>
      </c>
      <c r="G406" s="114" t="b">
        <v>0</v>
      </c>
      <c r="H406" s="114" t="b">
        <v>0</v>
      </c>
      <c r="I406" s="114" t="b">
        <v>0</v>
      </c>
      <c r="J406" s="114" t="b">
        <v>0</v>
      </c>
      <c r="K406" s="114" t="b">
        <v>0</v>
      </c>
      <c r="L406" s="114" t="b">
        <v>0</v>
      </c>
    </row>
    <row r="407" spans="1:12" ht="15">
      <c r="A407" s="114" t="s">
        <v>1745</v>
      </c>
      <c r="B407" s="114" t="s">
        <v>2011</v>
      </c>
      <c r="C407" s="114">
        <v>3</v>
      </c>
      <c r="D407" s="116">
        <v>0.0008028422253429518</v>
      </c>
      <c r="E407" s="116">
        <v>1.7081942032839939</v>
      </c>
      <c r="F407" s="114" t="s">
        <v>2559</v>
      </c>
      <c r="G407" s="114" t="b">
        <v>0</v>
      </c>
      <c r="H407" s="114" t="b">
        <v>0</v>
      </c>
      <c r="I407" s="114" t="b">
        <v>0</v>
      </c>
      <c r="J407" s="114" t="b">
        <v>0</v>
      </c>
      <c r="K407" s="114" t="b">
        <v>0</v>
      </c>
      <c r="L407" s="114" t="b">
        <v>0</v>
      </c>
    </row>
    <row r="408" spans="1:12" ht="15">
      <c r="A408" s="114" t="s">
        <v>1767</v>
      </c>
      <c r="B408" s="114" t="s">
        <v>1748</v>
      </c>
      <c r="C408" s="114">
        <v>3</v>
      </c>
      <c r="D408" s="116">
        <v>0.0008028422253429518</v>
      </c>
      <c r="E408" s="116">
        <v>1.0658396170968587</v>
      </c>
      <c r="F408" s="114" t="s">
        <v>2559</v>
      </c>
      <c r="G408" s="114" t="b">
        <v>0</v>
      </c>
      <c r="H408" s="114" t="b">
        <v>0</v>
      </c>
      <c r="I408" s="114" t="b">
        <v>0</v>
      </c>
      <c r="J408" s="114" t="b">
        <v>0</v>
      </c>
      <c r="K408" s="114" t="b">
        <v>0</v>
      </c>
      <c r="L408" s="114" t="b">
        <v>0</v>
      </c>
    </row>
    <row r="409" spans="1:12" ht="15">
      <c r="A409" s="114" t="s">
        <v>1783</v>
      </c>
      <c r="B409" s="114" t="s">
        <v>1970</v>
      </c>
      <c r="C409" s="114">
        <v>3</v>
      </c>
      <c r="D409" s="116">
        <v>0.0008028422253429518</v>
      </c>
      <c r="E409" s="116">
        <v>2.261036171941775</v>
      </c>
      <c r="F409" s="114" t="s">
        <v>2559</v>
      </c>
      <c r="G409" s="114" t="b">
        <v>0</v>
      </c>
      <c r="H409" s="114" t="b">
        <v>0</v>
      </c>
      <c r="I409" s="114" t="b">
        <v>0</v>
      </c>
      <c r="J409" s="114" t="b">
        <v>0</v>
      </c>
      <c r="K409" s="114" t="b">
        <v>0</v>
      </c>
      <c r="L409" s="114" t="b">
        <v>0</v>
      </c>
    </row>
    <row r="410" spans="1:12" ht="15">
      <c r="A410" s="114" t="s">
        <v>1961</v>
      </c>
      <c r="B410" s="114" t="s">
        <v>1851</v>
      </c>
      <c r="C410" s="114">
        <v>3</v>
      </c>
      <c r="D410" s="116">
        <v>0.0009168111787745449</v>
      </c>
      <c r="E410" s="116">
        <v>2.541862781517469</v>
      </c>
      <c r="F410" s="114" t="s">
        <v>2559</v>
      </c>
      <c r="G410" s="114" t="b">
        <v>0</v>
      </c>
      <c r="H410" s="114" t="b">
        <v>0</v>
      </c>
      <c r="I410" s="114" t="b">
        <v>0</v>
      </c>
      <c r="J410" s="114" t="b">
        <v>0</v>
      </c>
      <c r="K410" s="114" t="b">
        <v>0</v>
      </c>
      <c r="L410" s="114" t="b">
        <v>0</v>
      </c>
    </row>
    <row r="411" spans="1:12" ht="15">
      <c r="A411" s="114" t="s">
        <v>2082</v>
      </c>
      <c r="B411" s="114" t="s">
        <v>1760</v>
      </c>
      <c r="C411" s="114">
        <v>3</v>
      </c>
      <c r="D411" s="116">
        <v>0.0009168111787745449</v>
      </c>
      <c r="E411" s="116">
        <v>2.2679850318971027</v>
      </c>
      <c r="F411" s="114" t="s">
        <v>2559</v>
      </c>
      <c r="G411" s="114" t="b">
        <v>0</v>
      </c>
      <c r="H411" s="114" t="b">
        <v>0</v>
      </c>
      <c r="I411" s="114" t="b">
        <v>0</v>
      </c>
      <c r="J411" s="114" t="b">
        <v>0</v>
      </c>
      <c r="K411" s="114" t="b">
        <v>0</v>
      </c>
      <c r="L411" s="114" t="b">
        <v>0</v>
      </c>
    </row>
    <row r="412" spans="1:12" ht="15">
      <c r="A412" s="114" t="s">
        <v>2201</v>
      </c>
      <c r="B412" s="114" t="s">
        <v>2202</v>
      </c>
      <c r="C412" s="114">
        <v>3</v>
      </c>
      <c r="D412" s="116">
        <v>0.0009168111787745449</v>
      </c>
      <c r="E412" s="116">
        <v>3.4071642076200126</v>
      </c>
      <c r="F412" s="114" t="s">
        <v>2559</v>
      </c>
      <c r="G412" s="114" t="b">
        <v>0</v>
      </c>
      <c r="H412" s="114" t="b">
        <v>0</v>
      </c>
      <c r="I412" s="114" t="b">
        <v>0</v>
      </c>
      <c r="J412" s="114" t="b">
        <v>0</v>
      </c>
      <c r="K412" s="114" t="b">
        <v>0</v>
      </c>
      <c r="L412" s="114" t="b">
        <v>0</v>
      </c>
    </row>
    <row r="413" spans="1:12" ht="15">
      <c r="A413" s="114" t="s">
        <v>1970</v>
      </c>
      <c r="B413" s="114" t="s">
        <v>1741</v>
      </c>
      <c r="C413" s="114">
        <v>3</v>
      </c>
      <c r="D413" s="116">
        <v>0.0009168111787745449</v>
      </c>
      <c r="E413" s="116">
        <v>1.161651539805863</v>
      </c>
      <c r="F413" s="114" t="s">
        <v>2559</v>
      </c>
      <c r="G413" s="114" t="b">
        <v>0</v>
      </c>
      <c r="H413" s="114" t="b">
        <v>0</v>
      </c>
      <c r="I413" s="114" t="b">
        <v>0</v>
      </c>
      <c r="J413" s="114" t="b">
        <v>0</v>
      </c>
      <c r="K413" s="114" t="b">
        <v>0</v>
      </c>
      <c r="L413" s="114" t="b">
        <v>0</v>
      </c>
    </row>
    <row r="414" spans="1:12" ht="15">
      <c r="A414" s="114" t="s">
        <v>1782</v>
      </c>
      <c r="B414" s="114" t="s">
        <v>2083</v>
      </c>
      <c r="C414" s="114">
        <v>3</v>
      </c>
      <c r="D414" s="116">
        <v>0.000736174661339034</v>
      </c>
      <c r="E414" s="116">
        <v>2.4805931247785464</v>
      </c>
      <c r="F414" s="114" t="s">
        <v>2559</v>
      </c>
      <c r="G414" s="114" t="b">
        <v>0</v>
      </c>
      <c r="H414" s="114" t="b">
        <v>0</v>
      </c>
      <c r="I414" s="114" t="b">
        <v>0</v>
      </c>
      <c r="J414" s="114" t="b">
        <v>0</v>
      </c>
      <c r="K414" s="114" t="b">
        <v>0</v>
      </c>
      <c r="L414" s="114" t="b">
        <v>0</v>
      </c>
    </row>
    <row r="415" spans="1:12" ht="15">
      <c r="A415" s="114" t="s">
        <v>2083</v>
      </c>
      <c r="B415" s="114" t="s">
        <v>1972</v>
      </c>
      <c r="C415" s="114">
        <v>3</v>
      </c>
      <c r="D415" s="116">
        <v>0.000736174661339034</v>
      </c>
      <c r="E415" s="116">
        <v>2.9811954753477314</v>
      </c>
      <c r="F415" s="114" t="s">
        <v>2559</v>
      </c>
      <c r="G415" s="114" t="b">
        <v>0</v>
      </c>
      <c r="H415" s="114" t="b">
        <v>0</v>
      </c>
      <c r="I415" s="114" t="b">
        <v>0</v>
      </c>
      <c r="J415" s="114" t="b">
        <v>0</v>
      </c>
      <c r="K415" s="114" t="b">
        <v>0</v>
      </c>
      <c r="L415" s="114" t="b">
        <v>0</v>
      </c>
    </row>
    <row r="416" spans="1:12" ht="15">
      <c r="A416" s="114" t="s">
        <v>2085</v>
      </c>
      <c r="B416" s="114" t="s">
        <v>1881</v>
      </c>
      <c r="C416" s="114">
        <v>3</v>
      </c>
      <c r="D416" s="116">
        <v>0.000736174661339034</v>
      </c>
      <c r="E416" s="116">
        <v>2.7593467257313753</v>
      </c>
      <c r="F416" s="114" t="s">
        <v>2559</v>
      </c>
      <c r="G416" s="114" t="b">
        <v>0</v>
      </c>
      <c r="H416" s="114" t="b">
        <v>0</v>
      </c>
      <c r="I416" s="114" t="b">
        <v>0</v>
      </c>
      <c r="J416" s="114" t="b">
        <v>0</v>
      </c>
      <c r="K416" s="114" t="b">
        <v>0</v>
      </c>
      <c r="L416" s="114" t="b">
        <v>0</v>
      </c>
    </row>
    <row r="417" spans="1:12" ht="15">
      <c r="A417" s="114" t="s">
        <v>1881</v>
      </c>
      <c r="B417" s="114" t="s">
        <v>1947</v>
      </c>
      <c r="C417" s="114">
        <v>3</v>
      </c>
      <c r="D417" s="116">
        <v>0.000736174661339034</v>
      </c>
      <c r="E417" s="116">
        <v>2.516308677045081</v>
      </c>
      <c r="F417" s="114" t="s">
        <v>2559</v>
      </c>
      <c r="G417" s="114" t="b">
        <v>0</v>
      </c>
      <c r="H417" s="114" t="b">
        <v>0</v>
      </c>
      <c r="I417" s="114" t="b">
        <v>0</v>
      </c>
      <c r="J417" s="114" t="b">
        <v>0</v>
      </c>
      <c r="K417" s="114" t="b">
        <v>0</v>
      </c>
      <c r="L417" s="114" t="b">
        <v>0</v>
      </c>
    </row>
    <row r="418" spans="1:12" ht="15">
      <c r="A418" s="114" t="s">
        <v>2207</v>
      </c>
      <c r="B418" s="114" t="s">
        <v>2208</v>
      </c>
      <c r="C418" s="114">
        <v>3</v>
      </c>
      <c r="D418" s="116">
        <v>0.0009168111787745449</v>
      </c>
      <c r="E418" s="116">
        <v>3.4071642076200126</v>
      </c>
      <c r="F418" s="114" t="s">
        <v>2559</v>
      </c>
      <c r="G418" s="114" t="b">
        <v>0</v>
      </c>
      <c r="H418" s="114" t="b">
        <v>0</v>
      </c>
      <c r="I418" s="114" t="b">
        <v>0</v>
      </c>
      <c r="J418" s="114" t="b">
        <v>0</v>
      </c>
      <c r="K418" s="114" t="b">
        <v>0</v>
      </c>
      <c r="L418" s="114" t="b">
        <v>0</v>
      </c>
    </row>
    <row r="419" spans="1:12" ht="15">
      <c r="A419" s="114" t="s">
        <v>1745</v>
      </c>
      <c r="B419" s="114" t="s">
        <v>1755</v>
      </c>
      <c r="C419" s="114">
        <v>3</v>
      </c>
      <c r="D419" s="116">
        <v>0.000736174661339034</v>
      </c>
      <c r="E419" s="116">
        <v>0.8273806110032027</v>
      </c>
      <c r="F419" s="114" t="s">
        <v>2559</v>
      </c>
      <c r="G419" s="114" t="b">
        <v>0</v>
      </c>
      <c r="H419" s="114" t="b">
        <v>0</v>
      </c>
      <c r="I419" s="114" t="b">
        <v>0</v>
      </c>
      <c r="J419" s="114" t="b">
        <v>0</v>
      </c>
      <c r="K419" s="114" t="b">
        <v>0</v>
      </c>
      <c r="L419" s="114" t="b">
        <v>0</v>
      </c>
    </row>
    <row r="420" spans="1:12" ht="15">
      <c r="A420" s="114" t="s">
        <v>1771</v>
      </c>
      <c r="B420" s="114" t="s">
        <v>1747</v>
      </c>
      <c r="C420" s="114">
        <v>3</v>
      </c>
      <c r="D420" s="116">
        <v>0.000736174661339034</v>
      </c>
      <c r="E420" s="116">
        <v>1.0781054883557881</v>
      </c>
      <c r="F420" s="114" t="s">
        <v>2559</v>
      </c>
      <c r="G420" s="114" t="b">
        <v>0</v>
      </c>
      <c r="H420" s="114" t="b">
        <v>1</v>
      </c>
      <c r="I420" s="114" t="b">
        <v>0</v>
      </c>
      <c r="J420" s="114" t="b">
        <v>0</v>
      </c>
      <c r="K420" s="114" t="b">
        <v>0</v>
      </c>
      <c r="L420" s="114" t="b">
        <v>0</v>
      </c>
    </row>
    <row r="421" spans="1:12" ht="15">
      <c r="A421" s="114" t="s">
        <v>1762</v>
      </c>
      <c r="B421" s="114" t="s">
        <v>1973</v>
      </c>
      <c r="C421" s="114">
        <v>3</v>
      </c>
      <c r="D421" s="116">
        <v>0.000736174661339034</v>
      </c>
      <c r="E421" s="116">
        <v>2.106134211956032</v>
      </c>
      <c r="F421" s="114" t="s">
        <v>2559</v>
      </c>
      <c r="G421" s="114" t="b">
        <v>0</v>
      </c>
      <c r="H421" s="114" t="b">
        <v>0</v>
      </c>
      <c r="I421" s="114" t="b">
        <v>0</v>
      </c>
      <c r="J421" s="114" t="b">
        <v>0</v>
      </c>
      <c r="K421" s="114" t="b">
        <v>0</v>
      </c>
      <c r="L421" s="114" t="b">
        <v>0</v>
      </c>
    </row>
    <row r="422" spans="1:12" ht="15">
      <c r="A422" s="114" t="s">
        <v>1740</v>
      </c>
      <c r="B422" s="114" t="s">
        <v>1973</v>
      </c>
      <c r="C422" s="114">
        <v>3</v>
      </c>
      <c r="D422" s="116">
        <v>0.000736174661339034</v>
      </c>
      <c r="E422" s="116">
        <v>1.022154083026638</v>
      </c>
      <c r="F422" s="114" t="s">
        <v>2559</v>
      </c>
      <c r="G422" s="114" t="b">
        <v>0</v>
      </c>
      <c r="H422" s="114" t="b">
        <v>0</v>
      </c>
      <c r="I422" s="114" t="b">
        <v>0</v>
      </c>
      <c r="J422" s="114" t="b">
        <v>0</v>
      </c>
      <c r="K422" s="114" t="b">
        <v>0</v>
      </c>
      <c r="L422" s="114" t="b">
        <v>0</v>
      </c>
    </row>
    <row r="423" spans="1:12" ht="15">
      <c r="A423" s="114" t="s">
        <v>1973</v>
      </c>
      <c r="B423" s="114" t="s">
        <v>1759</v>
      </c>
      <c r="C423" s="114">
        <v>3</v>
      </c>
      <c r="D423" s="116">
        <v>0.000736174661339034</v>
      </c>
      <c r="E423" s="116">
        <v>2.106134211956032</v>
      </c>
      <c r="F423" s="114" t="s">
        <v>2559</v>
      </c>
      <c r="G423" s="114" t="b">
        <v>0</v>
      </c>
      <c r="H423" s="114" t="b">
        <v>0</v>
      </c>
      <c r="I423" s="114" t="b">
        <v>0</v>
      </c>
      <c r="J423" s="114" t="b">
        <v>0</v>
      </c>
      <c r="K423" s="114" t="b">
        <v>0</v>
      </c>
      <c r="L423" s="114" t="b">
        <v>0</v>
      </c>
    </row>
    <row r="424" spans="1:12" ht="15">
      <c r="A424" s="114" t="s">
        <v>1819</v>
      </c>
      <c r="B424" s="114" t="s">
        <v>1841</v>
      </c>
      <c r="C424" s="114">
        <v>3</v>
      </c>
      <c r="D424" s="116">
        <v>0.000736174661339034</v>
      </c>
      <c r="E424" s="116">
        <v>2.136097435333475</v>
      </c>
      <c r="F424" s="114" t="s">
        <v>2559</v>
      </c>
      <c r="G424" s="114" t="b">
        <v>0</v>
      </c>
      <c r="H424" s="114" t="b">
        <v>0</v>
      </c>
      <c r="I424" s="114" t="b">
        <v>0</v>
      </c>
      <c r="J424" s="114" t="b">
        <v>0</v>
      </c>
      <c r="K424" s="114" t="b">
        <v>0</v>
      </c>
      <c r="L424" s="114" t="b">
        <v>0</v>
      </c>
    </row>
    <row r="425" spans="1:12" ht="15">
      <c r="A425" s="114" t="s">
        <v>1755</v>
      </c>
      <c r="B425" s="114" t="s">
        <v>1857</v>
      </c>
      <c r="C425" s="114">
        <v>3</v>
      </c>
      <c r="D425" s="116">
        <v>0.000736174661339034</v>
      </c>
      <c r="E425" s="116">
        <v>1.7402304352843025</v>
      </c>
      <c r="F425" s="114" t="s">
        <v>2559</v>
      </c>
      <c r="G425" s="114" t="b">
        <v>0</v>
      </c>
      <c r="H425" s="114" t="b">
        <v>0</v>
      </c>
      <c r="I425" s="114" t="b">
        <v>0</v>
      </c>
      <c r="J425" s="114" t="b">
        <v>0</v>
      </c>
      <c r="K425" s="114" t="b">
        <v>0</v>
      </c>
      <c r="L425" s="114" t="b">
        <v>0</v>
      </c>
    </row>
    <row r="426" spans="1:12" ht="15">
      <c r="A426" s="114" t="s">
        <v>1747</v>
      </c>
      <c r="B426" s="114" t="s">
        <v>1759</v>
      </c>
      <c r="C426" s="114">
        <v>3</v>
      </c>
      <c r="D426" s="116">
        <v>0.000736174661339034</v>
      </c>
      <c r="E426" s="116">
        <v>0.992190859649195</v>
      </c>
      <c r="F426" s="114" t="s">
        <v>2559</v>
      </c>
      <c r="G426" s="114" t="b">
        <v>0</v>
      </c>
      <c r="H426" s="114" t="b">
        <v>0</v>
      </c>
      <c r="I426" s="114" t="b">
        <v>0</v>
      </c>
      <c r="J426" s="114" t="b">
        <v>0</v>
      </c>
      <c r="K426" s="114" t="b">
        <v>0</v>
      </c>
      <c r="L426" s="114" t="b">
        <v>0</v>
      </c>
    </row>
    <row r="427" spans="1:12" ht="15">
      <c r="A427" s="114" t="s">
        <v>2026</v>
      </c>
      <c r="B427" s="114" t="s">
        <v>1747</v>
      </c>
      <c r="C427" s="114">
        <v>3</v>
      </c>
      <c r="D427" s="116">
        <v>0.000736174661339034</v>
      </c>
      <c r="E427" s="116">
        <v>1.8562567387394318</v>
      </c>
      <c r="F427" s="114" t="s">
        <v>2559</v>
      </c>
      <c r="G427" s="114" t="b">
        <v>0</v>
      </c>
      <c r="H427" s="114" t="b">
        <v>0</v>
      </c>
      <c r="I427" s="114" t="b">
        <v>0</v>
      </c>
      <c r="J427" s="114" t="b">
        <v>0</v>
      </c>
      <c r="K427" s="114" t="b">
        <v>0</v>
      </c>
      <c r="L427" s="114" t="b">
        <v>0</v>
      </c>
    </row>
    <row r="428" spans="1:12" ht="15">
      <c r="A428" s="114" t="s">
        <v>1830</v>
      </c>
      <c r="B428" s="114" t="s">
        <v>1775</v>
      </c>
      <c r="C428" s="114">
        <v>3</v>
      </c>
      <c r="D428" s="116">
        <v>0.000736174661339034</v>
      </c>
      <c r="E428" s="116">
        <v>1.885735528734908</v>
      </c>
      <c r="F428" s="114" t="s">
        <v>2559</v>
      </c>
      <c r="G428" s="114" t="b">
        <v>0</v>
      </c>
      <c r="H428" s="114" t="b">
        <v>0</v>
      </c>
      <c r="I428" s="114" t="b">
        <v>0</v>
      </c>
      <c r="J428" s="114" t="b">
        <v>0</v>
      </c>
      <c r="K428" s="114" t="b">
        <v>0</v>
      </c>
      <c r="L428" s="114" t="b">
        <v>0</v>
      </c>
    </row>
    <row r="429" spans="1:12" ht="15">
      <c r="A429" s="114" t="s">
        <v>1879</v>
      </c>
      <c r="B429" s="114" t="s">
        <v>1881</v>
      </c>
      <c r="C429" s="114">
        <v>3</v>
      </c>
      <c r="D429" s="116">
        <v>0.000736174661339034</v>
      </c>
      <c r="E429" s="116">
        <v>2.361406717059338</v>
      </c>
      <c r="F429" s="114" t="s">
        <v>2559</v>
      </c>
      <c r="G429" s="114" t="b">
        <v>0</v>
      </c>
      <c r="H429" s="114" t="b">
        <v>0</v>
      </c>
      <c r="I429" s="114" t="b">
        <v>0</v>
      </c>
      <c r="J429" s="114" t="b">
        <v>0</v>
      </c>
      <c r="K429" s="114" t="b">
        <v>0</v>
      </c>
      <c r="L429" s="114" t="b">
        <v>0</v>
      </c>
    </row>
    <row r="430" spans="1:12" ht="15">
      <c r="A430" s="114" t="s">
        <v>1774</v>
      </c>
      <c r="B430" s="114" t="s">
        <v>1774</v>
      </c>
      <c r="C430" s="114">
        <v>3</v>
      </c>
      <c r="D430" s="116">
        <v>0.0008028422253429518</v>
      </c>
      <c r="E430" s="116">
        <v>1.7444063759384387</v>
      </c>
      <c r="F430" s="114" t="s">
        <v>2559</v>
      </c>
      <c r="G430" s="114" t="b">
        <v>0</v>
      </c>
      <c r="H430" s="114" t="b">
        <v>1</v>
      </c>
      <c r="I430" s="114" t="b">
        <v>0</v>
      </c>
      <c r="J430" s="114" t="b">
        <v>0</v>
      </c>
      <c r="K430" s="114" t="b">
        <v>1</v>
      </c>
      <c r="L430" s="114" t="b">
        <v>0</v>
      </c>
    </row>
    <row r="431" spans="1:12" ht="15">
      <c r="A431" s="114" t="s">
        <v>1916</v>
      </c>
      <c r="B431" s="114" t="s">
        <v>2221</v>
      </c>
      <c r="C431" s="114">
        <v>3</v>
      </c>
      <c r="D431" s="116">
        <v>0.0008028422253429518</v>
      </c>
      <c r="E431" s="116">
        <v>2.9811954753477314</v>
      </c>
      <c r="F431" s="114" t="s">
        <v>2559</v>
      </c>
      <c r="G431" s="114" t="b">
        <v>0</v>
      </c>
      <c r="H431" s="114" t="b">
        <v>0</v>
      </c>
      <c r="I431" s="114" t="b">
        <v>0</v>
      </c>
      <c r="J431" s="114" t="b">
        <v>0</v>
      </c>
      <c r="K431" s="114" t="b">
        <v>0</v>
      </c>
      <c r="L431" s="114" t="b">
        <v>0</v>
      </c>
    </row>
    <row r="432" spans="1:12" ht="15">
      <c r="A432" s="114" t="s">
        <v>2225</v>
      </c>
      <c r="B432" s="114" t="s">
        <v>2226</v>
      </c>
      <c r="C432" s="114">
        <v>3</v>
      </c>
      <c r="D432" s="116">
        <v>0.0009168111787745449</v>
      </c>
      <c r="E432" s="116">
        <v>3.4071642076200126</v>
      </c>
      <c r="F432" s="114" t="s">
        <v>2559</v>
      </c>
      <c r="G432" s="114" t="b">
        <v>0</v>
      </c>
      <c r="H432" s="114" t="b">
        <v>0</v>
      </c>
      <c r="I432" s="114" t="b">
        <v>0</v>
      </c>
      <c r="J432" s="114" t="b">
        <v>0</v>
      </c>
      <c r="K432" s="114" t="b">
        <v>0</v>
      </c>
      <c r="L432" s="114" t="b">
        <v>0</v>
      </c>
    </row>
    <row r="433" spans="1:12" ht="15">
      <c r="A433" s="114" t="s">
        <v>2093</v>
      </c>
      <c r="B433" s="114" t="s">
        <v>2227</v>
      </c>
      <c r="C433" s="114">
        <v>3</v>
      </c>
      <c r="D433" s="116">
        <v>0.0009168111787745449</v>
      </c>
      <c r="E433" s="116">
        <v>3.2822254710117127</v>
      </c>
      <c r="F433" s="114" t="s">
        <v>2559</v>
      </c>
      <c r="G433" s="114" t="b">
        <v>0</v>
      </c>
      <c r="H433" s="114" t="b">
        <v>0</v>
      </c>
      <c r="I433" s="114" t="b">
        <v>0</v>
      </c>
      <c r="J433" s="114" t="b">
        <v>0</v>
      </c>
      <c r="K433" s="114" t="b">
        <v>0</v>
      </c>
      <c r="L433" s="114" t="b">
        <v>0</v>
      </c>
    </row>
    <row r="434" spans="1:12" ht="15">
      <c r="A434" s="114" t="s">
        <v>1745</v>
      </c>
      <c r="B434" s="114" t="s">
        <v>1950</v>
      </c>
      <c r="C434" s="114">
        <v>3</v>
      </c>
      <c r="D434" s="116">
        <v>0.0008028422253429518</v>
      </c>
      <c r="E434" s="116">
        <v>1.562066167605756</v>
      </c>
      <c r="F434" s="114" t="s">
        <v>2559</v>
      </c>
      <c r="G434" s="114" t="b">
        <v>0</v>
      </c>
      <c r="H434" s="114" t="b">
        <v>0</v>
      </c>
      <c r="I434" s="114" t="b">
        <v>0</v>
      </c>
      <c r="J434" s="114" t="b">
        <v>0</v>
      </c>
      <c r="K434" s="114" t="b">
        <v>0</v>
      </c>
      <c r="L434" s="114" t="b">
        <v>0</v>
      </c>
    </row>
    <row r="435" spans="1:12" ht="15">
      <c r="A435" s="114" t="s">
        <v>1745</v>
      </c>
      <c r="B435" s="114" t="s">
        <v>1764</v>
      </c>
      <c r="C435" s="114">
        <v>3</v>
      </c>
      <c r="D435" s="116">
        <v>0.0009168111787745449</v>
      </c>
      <c r="E435" s="116">
        <v>0.9758004434610255</v>
      </c>
      <c r="F435" s="114" t="s">
        <v>2559</v>
      </c>
      <c r="G435" s="114" t="b">
        <v>0</v>
      </c>
      <c r="H435" s="114" t="b">
        <v>0</v>
      </c>
      <c r="I435" s="114" t="b">
        <v>0</v>
      </c>
      <c r="J435" s="114" t="b">
        <v>0</v>
      </c>
      <c r="K435" s="114" t="b">
        <v>0</v>
      </c>
      <c r="L435" s="114" t="b">
        <v>0</v>
      </c>
    </row>
    <row r="436" spans="1:12" ht="15">
      <c r="A436" s="114" t="s">
        <v>1882</v>
      </c>
      <c r="B436" s="114" t="s">
        <v>1882</v>
      </c>
      <c r="C436" s="114">
        <v>3</v>
      </c>
      <c r="D436" s="116">
        <v>0.0008028422253429518</v>
      </c>
      <c r="E436" s="116">
        <v>2.361406717059338</v>
      </c>
      <c r="F436" s="114" t="s">
        <v>2559</v>
      </c>
      <c r="G436" s="114" t="b">
        <v>0</v>
      </c>
      <c r="H436" s="114" t="b">
        <v>0</v>
      </c>
      <c r="I436" s="114" t="b">
        <v>0</v>
      </c>
      <c r="J436" s="114" t="b">
        <v>0</v>
      </c>
      <c r="K436" s="114" t="b">
        <v>0</v>
      </c>
      <c r="L436" s="114" t="b">
        <v>0</v>
      </c>
    </row>
    <row r="437" spans="1:12" ht="15">
      <c r="A437" s="114" t="s">
        <v>2096</v>
      </c>
      <c r="B437" s="114" t="s">
        <v>2017</v>
      </c>
      <c r="C437" s="114">
        <v>3</v>
      </c>
      <c r="D437" s="116">
        <v>0.0008028422253429518</v>
      </c>
      <c r="E437" s="116">
        <v>3.1853154580036565</v>
      </c>
      <c r="F437" s="114" t="s">
        <v>2559</v>
      </c>
      <c r="G437" s="114" t="b">
        <v>1</v>
      </c>
      <c r="H437" s="114" t="b">
        <v>0</v>
      </c>
      <c r="I437" s="114" t="b">
        <v>0</v>
      </c>
      <c r="J437" s="114" t="b">
        <v>0</v>
      </c>
      <c r="K437" s="114" t="b">
        <v>0</v>
      </c>
      <c r="L437" s="114" t="b">
        <v>0</v>
      </c>
    </row>
    <row r="438" spans="1:12" ht="15">
      <c r="A438" s="114" t="s">
        <v>1868</v>
      </c>
      <c r="B438" s="114" t="s">
        <v>1904</v>
      </c>
      <c r="C438" s="114">
        <v>3</v>
      </c>
      <c r="D438" s="116">
        <v>0.0009168111787745449</v>
      </c>
      <c r="E438" s="116">
        <v>2.458316730067394</v>
      </c>
      <c r="F438" s="114" t="s">
        <v>2559</v>
      </c>
      <c r="G438" s="114" t="b">
        <v>0</v>
      </c>
      <c r="H438" s="114" t="b">
        <v>0</v>
      </c>
      <c r="I438" s="114" t="b">
        <v>0</v>
      </c>
      <c r="J438" s="114" t="b">
        <v>0</v>
      </c>
      <c r="K438" s="114" t="b">
        <v>0</v>
      </c>
      <c r="L438" s="114" t="b">
        <v>0</v>
      </c>
    </row>
    <row r="439" spans="1:12" ht="15">
      <c r="A439" s="114" t="s">
        <v>1743</v>
      </c>
      <c r="B439" s="114" t="s">
        <v>1928</v>
      </c>
      <c r="C439" s="114">
        <v>3</v>
      </c>
      <c r="D439" s="116">
        <v>0.0008028422253429518</v>
      </c>
      <c r="E439" s="116">
        <v>1.1641261589337184</v>
      </c>
      <c r="F439" s="114" t="s">
        <v>2559</v>
      </c>
      <c r="G439" s="114" t="b">
        <v>0</v>
      </c>
      <c r="H439" s="114" t="b">
        <v>0</v>
      </c>
      <c r="I439" s="114" t="b">
        <v>0</v>
      </c>
      <c r="J439" s="114" t="b">
        <v>0</v>
      </c>
      <c r="K439" s="114" t="b">
        <v>0</v>
      </c>
      <c r="L439" s="114" t="b">
        <v>0</v>
      </c>
    </row>
    <row r="440" spans="1:12" ht="15">
      <c r="A440" s="114" t="s">
        <v>2247</v>
      </c>
      <c r="B440" s="114" t="s">
        <v>1948</v>
      </c>
      <c r="C440" s="114">
        <v>3</v>
      </c>
      <c r="D440" s="116">
        <v>0.0009168111787745449</v>
      </c>
      <c r="E440" s="116">
        <v>3.0391874223254183</v>
      </c>
      <c r="F440" s="114" t="s">
        <v>2559</v>
      </c>
      <c r="G440" s="114" t="b">
        <v>0</v>
      </c>
      <c r="H440" s="114" t="b">
        <v>0</v>
      </c>
      <c r="I440" s="114" t="b">
        <v>0</v>
      </c>
      <c r="J440" s="114" t="b">
        <v>0</v>
      </c>
      <c r="K440" s="114" t="b">
        <v>0</v>
      </c>
      <c r="L440" s="114" t="b">
        <v>0</v>
      </c>
    </row>
    <row r="441" spans="1:12" ht="15">
      <c r="A441" s="114" t="s">
        <v>1945</v>
      </c>
      <c r="B441" s="114" t="s">
        <v>1742</v>
      </c>
      <c r="C441" s="114">
        <v>3</v>
      </c>
      <c r="D441" s="116">
        <v>0.0008028422253429518</v>
      </c>
      <c r="E441" s="116">
        <v>1.1324933110646496</v>
      </c>
      <c r="F441" s="114" t="s">
        <v>2559</v>
      </c>
      <c r="G441" s="114" t="b">
        <v>0</v>
      </c>
      <c r="H441" s="114" t="b">
        <v>0</v>
      </c>
      <c r="I441" s="114" t="b">
        <v>0</v>
      </c>
      <c r="J441" s="114" t="b">
        <v>0</v>
      </c>
      <c r="K441" s="114" t="b">
        <v>0</v>
      </c>
      <c r="L441" s="114" t="b">
        <v>0</v>
      </c>
    </row>
    <row r="442" spans="1:12" ht="15">
      <c r="A442" s="114" t="s">
        <v>2099</v>
      </c>
      <c r="B442" s="114" t="s">
        <v>2251</v>
      </c>
      <c r="C442" s="114">
        <v>3</v>
      </c>
      <c r="D442" s="116">
        <v>0.0009168111787745449</v>
      </c>
      <c r="E442" s="116">
        <v>3.2822254710117127</v>
      </c>
      <c r="F442" s="114" t="s">
        <v>2559</v>
      </c>
      <c r="G442" s="114" t="b">
        <v>0</v>
      </c>
      <c r="H442" s="114" t="b">
        <v>0</v>
      </c>
      <c r="I442" s="114" t="b">
        <v>0</v>
      </c>
      <c r="J442" s="114" t="b">
        <v>0</v>
      </c>
      <c r="K442" s="114" t="b">
        <v>0</v>
      </c>
      <c r="L442" s="114" t="b">
        <v>0</v>
      </c>
    </row>
    <row r="443" spans="1:12" ht="15">
      <c r="A443" s="114" t="s">
        <v>1740</v>
      </c>
      <c r="B443" s="114" t="s">
        <v>2254</v>
      </c>
      <c r="C443" s="114">
        <v>3</v>
      </c>
      <c r="D443" s="116">
        <v>0.000736174661339034</v>
      </c>
      <c r="E443" s="116">
        <v>1.3231840786906193</v>
      </c>
      <c r="F443" s="114" t="s">
        <v>2559</v>
      </c>
      <c r="G443" s="114" t="b">
        <v>0</v>
      </c>
      <c r="H443" s="114" t="b">
        <v>0</v>
      </c>
      <c r="I443" s="114" t="b">
        <v>0</v>
      </c>
      <c r="J443" s="114" t="b">
        <v>0</v>
      </c>
      <c r="K443" s="114" t="b">
        <v>0</v>
      </c>
      <c r="L443" s="114" t="b">
        <v>0</v>
      </c>
    </row>
    <row r="444" spans="1:12" ht="15">
      <c r="A444" s="114" t="s">
        <v>2255</v>
      </c>
      <c r="B444" s="114" t="s">
        <v>2023</v>
      </c>
      <c r="C444" s="114">
        <v>3</v>
      </c>
      <c r="D444" s="116">
        <v>0.0009168111787745449</v>
      </c>
      <c r="E444" s="116">
        <v>3.1853154580036565</v>
      </c>
      <c r="F444" s="114" t="s">
        <v>2559</v>
      </c>
      <c r="G444" s="114" t="b">
        <v>0</v>
      </c>
      <c r="H444" s="114" t="b">
        <v>0</v>
      </c>
      <c r="I444" s="114" t="b">
        <v>0</v>
      </c>
      <c r="J444" s="114" t="b">
        <v>0</v>
      </c>
      <c r="K444" s="114" t="b">
        <v>0</v>
      </c>
      <c r="L444" s="114" t="b">
        <v>0</v>
      </c>
    </row>
    <row r="445" spans="1:12" ht="15">
      <c r="A445" s="114" t="s">
        <v>2258</v>
      </c>
      <c r="B445" s="114" t="s">
        <v>2259</v>
      </c>
      <c r="C445" s="114">
        <v>3</v>
      </c>
      <c r="D445" s="116">
        <v>0.0009168111787745449</v>
      </c>
      <c r="E445" s="116">
        <v>3.4071642076200126</v>
      </c>
      <c r="F445" s="114" t="s">
        <v>2559</v>
      </c>
      <c r="G445" s="114" t="b">
        <v>0</v>
      </c>
      <c r="H445" s="114" t="b">
        <v>0</v>
      </c>
      <c r="I445" s="114" t="b">
        <v>0</v>
      </c>
      <c r="J445" s="114" t="b">
        <v>0</v>
      </c>
      <c r="K445" s="114" t="b">
        <v>0</v>
      </c>
      <c r="L445" s="114" t="b">
        <v>0</v>
      </c>
    </row>
    <row r="446" spans="1:12" ht="15">
      <c r="A446" s="114" t="s">
        <v>1929</v>
      </c>
      <c r="B446" s="114" t="s">
        <v>1929</v>
      </c>
      <c r="C446" s="114">
        <v>3</v>
      </c>
      <c r="D446" s="116">
        <v>0.0009168111787745449</v>
      </c>
      <c r="E446" s="116">
        <v>2.5552267430754503</v>
      </c>
      <c r="F446" s="114" t="s">
        <v>2559</v>
      </c>
      <c r="G446" s="114" t="b">
        <v>0</v>
      </c>
      <c r="H446" s="114" t="b">
        <v>1</v>
      </c>
      <c r="I446" s="114" t="b">
        <v>0</v>
      </c>
      <c r="J446" s="114" t="b">
        <v>0</v>
      </c>
      <c r="K446" s="114" t="b">
        <v>1</v>
      </c>
      <c r="L446" s="114" t="b">
        <v>0</v>
      </c>
    </row>
    <row r="447" spans="1:12" ht="15">
      <c r="A447" s="114" t="s">
        <v>2262</v>
      </c>
      <c r="B447" s="114" t="s">
        <v>2115</v>
      </c>
      <c r="C447" s="114">
        <v>3</v>
      </c>
      <c r="D447" s="116">
        <v>0.0009168111787745449</v>
      </c>
      <c r="E447" s="116">
        <v>3.2822254710117127</v>
      </c>
      <c r="F447" s="114" t="s">
        <v>2559</v>
      </c>
      <c r="G447" s="114" t="b">
        <v>0</v>
      </c>
      <c r="H447" s="114" t="b">
        <v>0</v>
      </c>
      <c r="I447" s="114" t="b">
        <v>0</v>
      </c>
      <c r="J447" s="114" t="b">
        <v>0</v>
      </c>
      <c r="K447" s="114" t="b">
        <v>0</v>
      </c>
      <c r="L447" s="114" t="b">
        <v>0</v>
      </c>
    </row>
    <row r="448" spans="1:12" ht="15">
      <c r="A448" s="114" t="s">
        <v>1833</v>
      </c>
      <c r="B448" s="114" t="s">
        <v>1763</v>
      </c>
      <c r="C448" s="114">
        <v>3</v>
      </c>
      <c r="D448" s="116">
        <v>0.000736174661339034</v>
      </c>
      <c r="E448" s="116">
        <v>1.7850653668535448</v>
      </c>
      <c r="F448" s="114" t="s">
        <v>2559</v>
      </c>
      <c r="G448" s="114" t="b">
        <v>0</v>
      </c>
      <c r="H448" s="114" t="b">
        <v>0</v>
      </c>
      <c r="I448" s="114" t="b">
        <v>0</v>
      </c>
      <c r="J448" s="114" t="b">
        <v>0</v>
      </c>
      <c r="K448" s="114" t="b">
        <v>0</v>
      </c>
      <c r="L448" s="114" t="b">
        <v>0</v>
      </c>
    </row>
    <row r="449" spans="1:12" ht="15">
      <c r="A449" s="114" t="s">
        <v>2264</v>
      </c>
      <c r="B449" s="114" t="s">
        <v>1772</v>
      </c>
      <c r="C449" s="114">
        <v>3</v>
      </c>
      <c r="D449" s="116">
        <v>0.0009168111787745449</v>
      </c>
      <c r="E449" s="116">
        <v>2.5040742206280693</v>
      </c>
      <c r="F449" s="114" t="s">
        <v>2559</v>
      </c>
      <c r="G449" s="114" t="b">
        <v>0</v>
      </c>
      <c r="H449" s="114" t="b">
        <v>0</v>
      </c>
      <c r="I449" s="114" t="b">
        <v>0</v>
      </c>
      <c r="J449" s="114" t="b">
        <v>0</v>
      </c>
      <c r="K449" s="114" t="b">
        <v>0</v>
      </c>
      <c r="L449" s="114" t="b">
        <v>0</v>
      </c>
    </row>
    <row r="450" spans="1:12" ht="15">
      <c r="A450" s="114" t="s">
        <v>1927</v>
      </c>
      <c r="B450" s="114" t="s">
        <v>2120</v>
      </c>
      <c r="C450" s="114">
        <v>3</v>
      </c>
      <c r="D450" s="116">
        <v>0.0009168111787745449</v>
      </c>
      <c r="E450" s="116">
        <v>2.8562567387394315</v>
      </c>
      <c r="F450" s="114" t="s">
        <v>2559</v>
      </c>
      <c r="G450" s="114" t="b">
        <v>0</v>
      </c>
      <c r="H450" s="114" t="b">
        <v>0</v>
      </c>
      <c r="I450" s="114" t="b">
        <v>0</v>
      </c>
      <c r="J450" s="114" t="b">
        <v>0</v>
      </c>
      <c r="K450" s="114" t="b">
        <v>0</v>
      </c>
      <c r="L450" s="114" t="b">
        <v>0</v>
      </c>
    </row>
    <row r="451" spans="1:12" ht="15">
      <c r="A451" s="114" t="s">
        <v>2120</v>
      </c>
      <c r="B451" s="114" t="s">
        <v>1927</v>
      </c>
      <c r="C451" s="114">
        <v>3</v>
      </c>
      <c r="D451" s="116">
        <v>0.0009168111787745449</v>
      </c>
      <c r="E451" s="116">
        <v>2.8562567387394315</v>
      </c>
      <c r="F451" s="114" t="s">
        <v>2559</v>
      </c>
      <c r="G451" s="114" t="b">
        <v>0</v>
      </c>
      <c r="H451" s="114" t="b">
        <v>0</v>
      </c>
      <c r="I451" s="114" t="b">
        <v>0</v>
      </c>
      <c r="J451" s="114" t="b">
        <v>0</v>
      </c>
      <c r="K451" s="114" t="b">
        <v>0</v>
      </c>
      <c r="L451" s="114" t="b">
        <v>0</v>
      </c>
    </row>
    <row r="452" spans="1:12" ht="15">
      <c r="A452" s="114" t="s">
        <v>1743</v>
      </c>
      <c r="B452" s="114" t="s">
        <v>1798</v>
      </c>
      <c r="C452" s="114">
        <v>2</v>
      </c>
      <c r="D452" s="116">
        <v>0.0005352281502286346</v>
      </c>
      <c r="E452" s="116">
        <v>0.6026840185140201</v>
      </c>
      <c r="F452" s="114" t="s">
        <v>2559</v>
      </c>
      <c r="G452" s="114" t="b">
        <v>0</v>
      </c>
      <c r="H452" s="114" t="b">
        <v>0</v>
      </c>
      <c r="I452" s="114" t="b">
        <v>0</v>
      </c>
      <c r="J452" s="114" t="b">
        <v>0</v>
      </c>
      <c r="K452" s="114" t="b">
        <v>0</v>
      </c>
      <c r="L452" s="114" t="b">
        <v>0</v>
      </c>
    </row>
    <row r="453" spans="1:12" ht="15">
      <c r="A453" s="114" t="s">
        <v>1740</v>
      </c>
      <c r="B453" s="114" t="s">
        <v>2027</v>
      </c>
      <c r="C453" s="114">
        <v>2</v>
      </c>
      <c r="D453" s="116">
        <v>0.0006112074525163633</v>
      </c>
      <c r="E453" s="116">
        <v>1.022154083026638</v>
      </c>
      <c r="F453" s="114" t="s">
        <v>2559</v>
      </c>
      <c r="G453" s="114" t="b">
        <v>0</v>
      </c>
      <c r="H453" s="114" t="b">
        <v>0</v>
      </c>
      <c r="I453" s="114" t="b">
        <v>0</v>
      </c>
      <c r="J453" s="114" t="b">
        <v>0</v>
      </c>
      <c r="K453" s="114" t="b">
        <v>0</v>
      </c>
      <c r="L453" s="114" t="b">
        <v>0</v>
      </c>
    </row>
    <row r="454" spans="1:12" ht="15">
      <c r="A454" s="114" t="s">
        <v>1865</v>
      </c>
      <c r="B454" s="114" t="s">
        <v>2268</v>
      </c>
      <c r="C454" s="114">
        <v>2</v>
      </c>
      <c r="D454" s="116">
        <v>0.0005352281502286346</v>
      </c>
      <c r="E454" s="116">
        <v>2.9300429529003504</v>
      </c>
      <c r="F454" s="114" t="s">
        <v>2559</v>
      </c>
      <c r="G454" s="114" t="b">
        <v>0</v>
      </c>
      <c r="H454" s="114" t="b">
        <v>0</v>
      </c>
      <c r="I454" s="114" t="b">
        <v>0</v>
      </c>
      <c r="J454" s="114" t="b">
        <v>0</v>
      </c>
      <c r="K454" s="114" t="b">
        <v>0</v>
      </c>
      <c r="L454" s="114" t="b">
        <v>0</v>
      </c>
    </row>
    <row r="455" spans="1:12" ht="15">
      <c r="A455" s="114" t="s">
        <v>2269</v>
      </c>
      <c r="B455" s="114" t="s">
        <v>2028</v>
      </c>
      <c r="C455" s="114">
        <v>2</v>
      </c>
      <c r="D455" s="116">
        <v>0.0005352281502286346</v>
      </c>
      <c r="E455" s="116">
        <v>3.2822254710117127</v>
      </c>
      <c r="F455" s="114" t="s">
        <v>2559</v>
      </c>
      <c r="G455" s="114" t="b">
        <v>0</v>
      </c>
      <c r="H455" s="114" t="b">
        <v>0</v>
      </c>
      <c r="I455" s="114" t="b">
        <v>0</v>
      </c>
      <c r="J455" s="114" t="b">
        <v>0</v>
      </c>
      <c r="K455" s="114" t="b">
        <v>0</v>
      </c>
      <c r="L455" s="114" t="b">
        <v>0</v>
      </c>
    </row>
    <row r="456" spans="1:12" ht="15">
      <c r="A456" s="114" t="s">
        <v>1777</v>
      </c>
      <c r="B456" s="114" t="s">
        <v>1747</v>
      </c>
      <c r="C456" s="114">
        <v>2</v>
      </c>
      <c r="D456" s="116">
        <v>0.0005352281502286346</v>
      </c>
      <c r="E456" s="116">
        <v>0.9398027901895067</v>
      </c>
      <c r="F456" s="114" t="s">
        <v>2559</v>
      </c>
      <c r="G456" s="114" t="b">
        <v>0</v>
      </c>
      <c r="H456" s="114" t="b">
        <v>0</v>
      </c>
      <c r="I456" s="114" t="b">
        <v>0</v>
      </c>
      <c r="J456" s="114" t="b">
        <v>0</v>
      </c>
      <c r="K456" s="114" t="b">
        <v>0</v>
      </c>
      <c r="L456" s="114" t="b">
        <v>0</v>
      </c>
    </row>
    <row r="457" spans="1:12" ht="15">
      <c r="A457" s="114" t="s">
        <v>1746</v>
      </c>
      <c r="B457" s="114" t="s">
        <v>1800</v>
      </c>
      <c r="C457" s="114">
        <v>2</v>
      </c>
      <c r="D457" s="116">
        <v>0.0005352281502286346</v>
      </c>
      <c r="E457" s="116">
        <v>1.0254476109110897</v>
      </c>
      <c r="F457" s="114" t="s">
        <v>2559</v>
      </c>
      <c r="G457" s="114" t="b">
        <v>0</v>
      </c>
      <c r="H457" s="114" t="b">
        <v>1</v>
      </c>
      <c r="I457" s="114" t="b">
        <v>0</v>
      </c>
      <c r="J457" s="114" t="b">
        <v>0</v>
      </c>
      <c r="K457" s="114" t="b">
        <v>0</v>
      </c>
      <c r="L457" s="114" t="b">
        <v>0</v>
      </c>
    </row>
    <row r="458" spans="1:12" ht="15">
      <c r="A458" s="114" t="s">
        <v>1848</v>
      </c>
      <c r="B458" s="114" t="s">
        <v>1848</v>
      </c>
      <c r="C458" s="114">
        <v>2</v>
      </c>
      <c r="D458" s="116">
        <v>0.0005352281502286346</v>
      </c>
      <c r="E458" s="116">
        <v>2.1025300876872066</v>
      </c>
      <c r="F458" s="114" t="s">
        <v>2559</v>
      </c>
      <c r="G458" s="114" t="b">
        <v>0</v>
      </c>
      <c r="H458" s="114" t="b">
        <v>1</v>
      </c>
      <c r="I458" s="114" t="b">
        <v>0</v>
      </c>
      <c r="J458" s="114" t="b">
        <v>0</v>
      </c>
      <c r="K458" s="114" t="b">
        <v>1</v>
      </c>
      <c r="L458" s="114" t="b">
        <v>0</v>
      </c>
    </row>
    <row r="459" spans="1:12" ht="15">
      <c r="A459" s="114" t="s">
        <v>1742</v>
      </c>
      <c r="B459" s="114" t="s">
        <v>2274</v>
      </c>
      <c r="C459" s="114">
        <v>2</v>
      </c>
      <c r="D459" s="116">
        <v>0.0006112074525163633</v>
      </c>
      <c r="E459" s="116">
        <v>1.5150696049295325</v>
      </c>
      <c r="F459" s="114" t="s">
        <v>2559</v>
      </c>
      <c r="G459" s="114" t="b">
        <v>0</v>
      </c>
      <c r="H459" s="114" t="b">
        <v>0</v>
      </c>
      <c r="I459" s="114" t="b">
        <v>0</v>
      </c>
      <c r="J459" s="114" t="b">
        <v>0</v>
      </c>
      <c r="K459" s="114" t="b">
        <v>0</v>
      </c>
      <c r="L459" s="114" t="b">
        <v>0</v>
      </c>
    </row>
    <row r="460" spans="1:12" ht="15">
      <c r="A460" s="114" t="s">
        <v>2036</v>
      </c>
      <c r="B460" s="114" t="s">
        <v>1868</v>
      </c>
      <c r="C460" s="114">
        <v>2</v>
      </c>
      <c r="D460" s="116">
        <v>0.0005352281502286346</v>
      </c>
      <c r="E460" s="116">
        <v>2.583255466675694</v>
      </c>
      <c r="F460" s="114" t="s">
        <v>2559</v>
      </c>
      <c r="G460" s="114" t="b">
        <v>0</v>
      </c>
      <c r="H460" s="114" t="b">
        <v>0</v>
      </c>
      <c r="I460" s="114" t="b">
        <v>0</v>
      </c>
      <c r="J460" s="114" t="b">
        <v>0</v>
      </c>
      <c r="K460" s="114" t="b">
        <v>0</v>
      </c>
      <c r="L460" s="114" t="b">
        <v>0</v>
      </c>
    </row>
    <row r="461" spans="1:12" ht="15">
      <c r="A461" s="114" t="s">
        <v>1782</v>
      </c>
      <c r="B461" s="114" t="s">
        <v>1783</v>
      </c>
      <c r="C461" s="114">
        <v>2</v>
      </c>
      <c r="D461" s="116">
        <v>0.0005352281502286346</v>
      </c>
      <c r="E461" s="116">
        <v>1.6055318613868463</v>
      </c>
      <c r="F461" s="114" t="s">
        <v>2559</v>
      </c>
      <c r="G461" s="114" t="b">
        <v>0</v>
      </c>
      <c r="H461" s="114" t="b">
        <v>0</v>
      </c>
      <c r="I461" s="114" t="b">
        <v>0</v>
      </c>
      <c r="J461" s="114" t="b">
        <v>0</v>
      </c>
      <c r="K461" s="114" t="b">
        <v>0</v>
      </c>
      <c r="L461" s="114" t="b">
        <v>0</v>
      </c>
    </row>
    <row r="462" spans="1:12" ht="15">
      <c r="A462" s="114" t="s">
        <v>1748</v>
      </c>
      <c r="B462" s="114" t="s">
        <v>1750</v>
      </c>
      <c r="C462" s="114">
        <v>2</v>
      </c>
      <c r="D462" s="116">
        <v>0.0005352281502286346</v>
      </c>
      <c r="E462" s="116">
        <v>0.6112841902759377</v>
      </c>
      <c r="F462" s="114" t="s">
        <v>2559</v>
      </c>
      <c r="G462" s="114" t="b">
        <v>0</v>
      </c>
      <c r="H462" s="114" t="b">
        <v>0</v>
      </c>
      <c r="I462" s="114" t="b">
        <v>0</v>
      </c>
      <c r="J462" s="114" t="b">
        <v>0</v>
      </c>
      <c r="K462" s="114" t="b">
        <v>0</v>
      </c>
      <c r="L462" s="114" t="b">
        <v>0</v>
      </c>
    </row>
    <row r="463" spans="1:12" ht="15">
      <c r="A463" s="114" t="s">
        <v>1742</v>
      </c>
      <c r="B463" s="114" t="s">
        <v>1804</v>
      </c>
      <c r="C463" s="114">
        <v>2</v>
      </c>
      <c r="D463" s="116">
        <v>0.0005352281502286346</v>
      </c>
      <c r="E463" s="116">
        <v>0.6119796179375888</v>
      </c>
      <c r="F463" s="114" t="s">
        <v>2559</v>
      </c>
      <c r="G463" s="114" t="b">
        <v>0</v>
      </c>
      <c r="H463" s="114" t="b">
        <v>0</v>
      </c>
      <c r="I463" s="114" t="b">
        <v>0</v>
      </c>
      <c r="J463" s="114" t="b">
        <v>0</v>
      </c>
      <c r="K463" s="114" t="b">
        <v>0</v>
      </c>
      <c r="L463" s="114" t="b">
        <v>0</v>
      </c>
    </row>
    <row r="464" spans="1:12" ht="15">
      <c r="A464" s="114" t="s">
        <v>2128</v>
      </c>
      <c r="B464" s="114" t="s">
        <v>1740</v>
      </c>
      <c r="C464" s="114">
        <v>2</v>
      </c>
      <c r="D464" s="116">
        <v>0.0005352281502286346</v>
      </c>
      <c r="E464" s="116">
        <v>1.1435281390319048</v>
      </c>
      <c r="F464" s="114" t="s">
        <v>2559</v>
      </c>
      <c r="G464" s="114" t="b">
        <v>0</v>
      </c>
      <c r="H464" s="114" t="b">
        <v>0</v>
      </c>
      <c r="I464" s="114" t="b">
        <v>0</v>
      </c>
      <c r="J464" s="114" t="b">
        <v>0</v>
      </c>
      <c r="K464" s="114" t="b">
        <v>0</v>
      </c>
      <c r="L464" s="114" t="b">
        <v>0</v>
      </c>
    </row>
    <row r="465" spans="1:12" ht="15">
      <c r="A465" s="114" t="s">
        <v>1751</v>
      </c>
      <c r="B465" s="114" t="s">
        <v>1800</v>
      </c>
      <c r="C465" s="114">
        <v>2</v>
      </c>
      <c r="D465" s="116">
        <v>0.0005352281502286346</v>
      </c>
      <c r="E465" s="116">
        <v>1.282768678689665</v>
      </c>
      <c r="F465" s="114" t="s">
        <v>2559</v>
      </c>
      <c r="G465" s="114" t="b">
        <v>0</v>
      </c>
      <c r="H465" s="114" t="b">
        <v>1</v>
      </c>
      <c r="I465" s="114" t="b">
        <v>0</v>
      </c>
      <c r="J465" s="114" t="b">
        <v>0</v>
      </c>
      <c r="K465" s="114" t="b">
        <v>0</v>
      </c>
      <c r="L465" s="114" t="b">
        <v>0</v>
      </c>
    </row>
    <row r="466" spans="1:12" ht="15">
      <c r="A466" s="114" t="s">
        <v>1740</v>
      </c>
      <c r="B466" s="114" t="s">
        <v>2130</v>
      </c>
      <c r="C466" s="114">
        <v>2</v>
      </c>
      <c r="D466" s="116">
        <v>0.0005352281502286346</v>
      </c>
      <c r="E466" s="116">
        <v>1.1470928196349381</v>
      </c>
      <c r="F466" s="114" t="s">
        <v>2559</v>
      </c>
      <c r="G466" s="114" t="b">
        <v>0</v>
      </c>
      <c r="H466" s="114" t="b">
        <v>0</v>
      </c>
      <c r="I466" s="114" t="b">
        <v>0</v>
      </c>
      <c r="J466" s="114" t="b">
        <v>0</v>
      </c>
      <c r="K466" s="114" t="b">
        <v>0</v>
      </c>
      <c r="L466" s="114" t="b">
        <v>0</v>
      </c>
    </row>
    <row r="467" spans="1:12" ht="15">
      <c r="A467" s="114" t="s">
        <v>1936</v>
      </c>
      <c r="B467" s="114" t="s">
        <v>1739</v>
      </c>
      <c r="C467" s="114">
        <v>2</v>
      </c>
      <c r="D467" s="116">
        <v>0.0006112074525163633</v>
      </c>
      <c r="E467" s="116">
        <v>0.65717037975055</v>
      </c>
      <c r="F467" s="114" t="s">
        <v>2559</v>
      </c>
      <c r="G467" s="114" t="b">
        <v>0</v>
      </c>
      <c r="H467" s="114" t="b">
        <v>0</v>
      </c>
      <c r="I467" s="114" t="b">
        <v>0</v>
      </c>
      <c r="J467" s="114" t="b">
        <v>0</v>
      </c>
      <c r="K467" s="114" t="b">
        <v>0</v>
      </c>
      <c r="L467" s="114" t="b">
        <v>0</v>
      </c>
    </row>
    <row r="468" spans="1:12" ht="15">
      <c r="A468" s="114" t="s">
        <v>1743</v>
      </c>
      <c r="B468" s="114" t="s">
        <v>1936</v>
      </c>
      <c r="C468" s="114">
        <v>2</v>
      </c>
      <c r="D468" s="116">
        <v>0.0006112074525163633</v>
      </c>
      <c r="E468" s="116">
        <v>0.9880348998780372</v>
      </c>
      <c r="F468" s="114" t="s">
        <v>2559</v>
      </c>
      <c r="G468" s="114" t="b">
        <v>0</v>
      </c>
      <c r="H468" s="114" t="b">
        <v>0</v>
      </c>
      <c r="I468" s="114" t="b">
        <v>0</v>
      </c>
      <c r="J468" s="114" t="b">
        <v>0</v>
      </c>
      <c r="K468" s="114" t="b">
        <v>0</v>
      </c>
      <c r="L468" s="114" t="b">
        <v>0</v>
      </c>
    </row>
    <row r="469" spans="1:12" ht="15">
      <c r="A469" s="114" t="s">
        <v>1783</v>
      </c>
      <c r="B469" s="114" t="s">
        <v>1739</v>
      </c>
      <c r="C469" s="114">
        <v>2</v>
      </c>
      <c r="D469" s="116">
        <v>0.0006112074525163633</v>
      </c>
      <c r="E469" s="116">
        <v>0.18004912503088766</v>
      </c>
      <c r="F469" s="114" t="s">
        <v>2559</v>
      </c>
      <c r="G469" s="114" t="b">
        <v>0</v>
      </c>
      <c r="H469" s="114" t="b">
        <v>0</v>
      </c>
      <c r="I469" s="114" t="b">
        <v>0</v>
      </c>
      <c r="J469" s="114" t="b">
        <v>0</v>
      </c>
      <c r="K469" s="114" t="b">
        <v>0</v>
      </c>
      <c r="L469" s="114" t="b">
        <v>0</v>
      </c>
    </row>
    <row r="470" spans="1:12" ht="15">
      <c r="A470" s="114" t="s">
        <v>1889</v>
      </c>
      <c r="B470" s="114" t="s">
        <v>1741</v>
      </c>
      <c r="C470" s="114">
        <v>2</v>
      </c>
      <c r="D470" s="116">
        <v>0.0005352281502286346</v>
      </c>
      <c r="E470" s="116">
        <v>0.8606215441418819</v>
      </c>
      <c r="F470" s="114" t="s">
        <v>2559</v>
      </c>
      <c r="G470" s="114" t="b">
        <v>0</v>
      </c>
      <c r="H470" s="114" t="b">
        <v>0</v>
      </c>
      <c r="I470" s="114" t="b">
        <v>0</v>
      </c>
      <c r="J470" s="114" t="b">
        <v>0</v>
      </c>
      <c r="K470" s="114" t="b">
        <v>0</v>
      </c>
      <c r="L470" s="114" t="b">
        <v>0</v>
      </c>
    </row>
    <row r="471" spans="1:12" ht="15">
      <c r="A471" s="114" t="s">
        <v>1739</v>
      </c>
      <c r="B471" s="114" t="s">
        <v>1958</v>
      </c>
      <c r="C471" s="114">
        <v>2</v>
      </c>
      <c r="D471" s="116">
        <v>0.0005352281502286346</v>
      </c>
      <c r="E471" s="116">
        <v>0.7125590086864442</v>
      </c>
      <c r="F471" s="114" t="s">
        <v>2559</v>
      </c>
      <c r="G471" s="114" t="b">
        <v>0</v>
      </c>
      <c r="H471" s="114" t="b">
        <v>0</v>
      </c>
      <c r="I471" s="114" t="b">
        <v>0</v>
      </c>
      <c r="J471" s="114" t="b">
        <v>0</v>
      </c>
      <c r="K471" s="114" t="b">
        <v>0</v>
      </c>
      <c r="L471" s="114" t="b">
        <v>0</v>
      </c>
    </row>
    <row r="472" spans="1:12" ht="15">
      <c r="A472" s="114" t="s">
        <v>1758</v>
      </c>
      <c r="B472" s="114" t="s">
        <v>1912</v>
      </c>
      <c r="C472" s="114">
        <v>2</v>
      </c>
      <c r="D472" s="116">
        <v>0.0005352281502286346</v>
      </c>
      <c r="E472" s="116">
        <v>1.7770754926918069</v>
      </c>
      <c r="F472" s="114" t="s">
        <v>2559</v>
      </c>
      <c r="G472" s="114" t="b">
        <v>0</v>
      </c>
      <c r="H472" s="114" t="b">
        <v>0</v>
      </c>
      <c r="I472" s="114" t="b">
        <v>0</v>
      </c>
      <c r="J472" s="114" t="b">
        <v>0</v>
      </c>
      <c r="K472" s="114" t="b">
        <v>0</v>
      </c>
      <c r="L472" s="114" t="b">
        <v>0</v>
      </c>
    </row>
    <row r="473" spans="1:12" ht="15">
      <c r="A473" s="114" t="s">
        <v>1912</v>
      </c>
      <c r="B473" s="114" t="s">
        <v>1783</v>
      </c>
      <c r="C473" s="114">
        <v>2</v>
      </c>
      <c r="D473" s="116">
        <v>0.0005352281502286346</v>
      </c>
      <c r="E473" s="116">
        <v>1.9811954753477317</v>
      </c>
      <c r="F473" s="114" t="s">
        <v>2559</v>
      </c>
      <c r="G473" s="114" t="b">
        <v>0</v>
      </c>
      <c r="H473" s="114" t="b">
        <v>0</v>
      </c>
      <c r="I473" s="114" t="b">
        <v>0</v>
      </c>
      <c r="J473" s="114" t="b">
        <v>0</v>
      </c>
      <c r="K473" s="114" t="b">
        <v>0</v>
      </c>
      <c r="L473" s="114" t="b">
        <v>0</v>
      </c>
    </row>
    <row r="474" spans="1:12" ht="15">
      <c r="A474" s="114" t="s">
        <v>1783</v>
      </c>
      <c r="B474" s="114" t="s">
        <v>1912</v>
      </c>
      <c r="C474" s="114">
        <v>2</v>
      </c>
      <c r="D474" s="116">
        <v>0.0005352281502286346</v>
      </c>
      <c r="E474" s="116">
        <v>1.9600061762777936</v>
      </c>
      <c r="F474" s="114" t="s">
        <v>2559</v>
      </c>
      <c r="G474" s="114" t="b">
        <v>0</v>
      </c>
      <c r="H474" s="114" t="b">
        <v>0</v>
      </c>
      <c r="I474" s="114" t="b">
        <v>0</v>
      </c>
      <c r="J474" s="114" t="b">
        <v>0</v>
      </c>
      <c r="K474" s="114" t="b">
        <v>0</v>
      </c>
      <c r="L474" s="114" t="b">
        <v>0</v>
      </c>
    </row>
    <row r="475" spans="1:12" ht="15">
      <c r="A475" s="114" t="s">
        <v>1913</v>
      </c>
      <c r="B475" s="114" t="s">
        <v>1747</v>
      </c>
      <c r="C475" s="114">
        <v>2</v>
      </c>
      <c r="D475" s="116">
        <v>0.0005352281502286346</v>
      </c>
      <c r="E475" s="116">
        <v>1.5832554666756942</v>
      </c>
      <c r="F475" s="114" t="s">
        <v>2559</v>
      </c>
      <c r="G475" s="114" t="b">
        <v>0</v>
      </c>
      <c r="H475" s="114" t="b">
        <v>0</v>
      </c>
      <c r="I475" s="114" t="b">
        <v>0</v>
      </c>
      <c r="J475" s="114" t="b">
        <v>0</v>
      </c>
      <c r="K475" s="114" t="b">
        <v>0</v>
      </c>
      <c r="L475" s="114" t="b">
        <v>0</v>
      </c>
    </row>
    <row r="476" spans="1:12" ht="15">
      <c r="A476" s="114" t="s">
        <v>1891</v>
      </c>
      <c r="B476" s="114" t="s">
        <v>1739</v>
      </c>
      <c r="C476" s="114">
        <v>2</v>
      </c>
      <c r="D476" s="116">
        <v>0.0005352281502286346</v>
      </c>
      <c r="E476" s="116">
        <v>0.548025910325482</v>
      </c>
      <c r="F476" s="114" t="s">
        <v>2559</v>
      </c>
      <c r="G476" s="114" t="b">
        <v>0</v>
      </c>
      <c r="H476" s="114" t="b">
        <v>0</v>
      </c>
      <c r="I476" s="114" t="b">
        <v>0</v>
      </c>
      <c r="J476" s="114" t="b">
        <v>0</v>
      </c>
      <c r="K476" s="114" t="b">
        <v>0</v>
      </c>
      <c r="L476" s="114" t="b">
        <v>0</v>
      </c>
    </row>
    <row r="477" spans="1:12" ht="15">
      <c r="A477" s="114" t="s">
        <v>1871</v>
      </c>
      <c r="B477" s="114" t="s">
        <v>1871</v>
      </c>
      <c r="C477" s="114">
        <v>2</v>
      </c>
      <c r="D477" s="116">
        <v>0.0006112074525163633</v>
      </c>
      <c r="E477" s="116">
        <v>2.2768304391250065</v>
      </c>
      <c r="F477" s="114" t="s">
        <v>2559</v>
      </c>
      <c r="G477" s="114" t="b">
        <v>0</v>
      </c>
      <c r="H477" s="114" t="b">
        <v>0</v>
      </c>
      <c r="I477" s="114" t="b">
        <v>0</v>
      </c>
      <c r="J477" s="114" t="b">
        <v>0</v>
      </c>
      <c r="K477" s="114" t="b">
        <v>0</v>
      </c>
      <c r="L477" s="114" t="b">
        <v>0</v>
      </c>
    </row>
    <row r="478" spans="1:12" ht="15">
      <c r="A478" s="114" t="s">
        <v>1871</v>
      </c>
      <c r="B478" s="114" t="s">
        <v>1771</v>
      </c>
      <c r="C478" s="114">
        <v>2</v>
      </c>
      <c r="D478" s="116">
        <v>0.0006112074525163633</v>
      </c>
      <c r="E478" s="116">
        <v>1.8508617068527256</v>
      </c>
      <c r="F478" s="114" t="s">
        <v>2559</v>
      </c>
      <c r="G478" s="114" t="b">
        <v>0</v>
      </c>
      <c r="H478" s="114" t="b">
        <v>0</v>
      </c>
      <c r="I478" s="114" t="b">
        <v>0</v>
      </c>
      <c r="J478" s="114" t="b">
        <v>0</v>
      </c>
      <c r="K478" s="114" t="b">
        <v>1</v>
      </c>
      <c r="L478" s="114" t="b">
        <v>0</v>
      </c>
    </row>
    <row r="479" spans="1:12" ht="15">
      <c r="A479" s="114" t="s">
        <v>1749</v>
      </c>
      <c r="B479" s="114" t="s">
        <v>1741</v>
      </c>
      <c r="C479" s="114">
        <v>2</v>
      </c>
      <c r="D479" s="116">
        <v>0.0005352281502286346</v>
      </c>
      <c r="E479" s="116">
        <v>0.015523504127625022</v>
      </c>
      <c r="F479" s="114" t="s">
        <v>2559</v>
      </c>
      <c r="G479" s="114" t="b">
        <v>0</v>
      </c>
      <c r="H479" s="114" t="b">
        <v>0</v>
      </c>
      <c r="I479" s="114" t="b">
        <v>0</v>
      </c>
      <c r="J479" s="114" t="b">
        <v>0</v>
      </c>
      <c r="K479" s="114" t="b">
        <v>0</v>
      </c>
      <c r="L479" s="114" t="b">
        <v>0</v>
      </c>
    </row>
    <row r="480" spans="1:12" ht="15">
      <c r="A480" s="114" t="s">
        <v>1743</v>
      </c>
      <c r="B480" s="114" t="s">
        <v>1747</v>
      </c>
      <c r="C480" s="114">
        <v>2</v>
      </c>
      <c r="D480" s="116">
        <v>0.0005352281502286346</v>
      </c>
      <c r="E480" s="116">
        <v>-0.0699570470996496</v>
      </c>
      <c r="F480" s="114" t="s">
        <v>2559</v>
      </c>
      <c r="G480" s="114" t="b">
        <v>0</v>
      </c>
      <c r="H480" s="114" t="b">
        <v>0</v>
      </c>
      <c r="I480" s="114" t="b">
        <v>0</v>
      </c>
      <c r="J480" s="114" t="b">
        <v>0</v>
      </c>
      <c r="K480" s="114" t="b">
        <v>0</v>
      </c>
      <c r="L480" s="114" t="b">
        <v>0</v>
      </c>
    </row>
    <row r="481" spans="1:12" ht="15">
      <c r="A481" s="114" t="s">
        <v>1747</v>
      </c>
      <c r="B481" s="114" t="s">
        <v>1787</v>
      </c>
      <c r="C481" s="114">
        <v>2</v>
      </c>
      <c r="D481" s="116">
        <v>0.0005352281502286346</v>
      </c>
      <c r="E481" s="116">
        <v>0.992190859649195</v>
      </c>
      <c r="F481" s="114" t="s">
        <v>2559</v>
      </c>
      <c r="G481" s="114" t="b">
        <v>0</v>
      </c>
      <c r="H481" s="114" t="b">
        <v>0</v>
      </c>
      <c r="I481" s="114" t="b">
        <v>0</v>
      </c>
      <c r="J481" s="114" t="b">
        <v>0</v>
      </c>
      <c r="K481" s="114" t="b">
        <v>0</v>
      </c>
      <c r="L481" s="114" t="b">
        <v>0</v>
      </c>
    </row>
    <row r="482" spans="1:12" ht="15">
      <c r="A482" s="114" t="s">
        <v>1749</v>
      </c>
      <c r="B482" s="114" t="s">
        <v>1742</v>
      </c>
      <c r="C482" s="114">
        <v>2</v>
      </c>
      <c r="D482" s="116">
        <v>0.0005352281502286346</v>
      </c>
      <c r="E482" s="116">
        <v>0.05331206501702477</v>
      </c>
      <c r="F482" s="114" t="s">
        <v>2559</v>
      </c>
      <c r="G482" s="114" t="b">
        <v>0</v>
      </c>
      <c r="H482" s="114" t="b">
        <v>0</v>
      </c>
      <c r="I482" s="114" t="b">
        <v>0</v>
      </c>
      <c r="J482" s="114" t="b">
        <v>0</v>
      </c>
      <c r="K482" s="114" t="b">
        <v>0</v>
      </c>
      <c r="L482" s="114" t="b">
        <v>0</v>
      </c>
    </row>
    <row r="483" spans="1:12" ht="15">
      <c r="A483" s="114" t="s">
        <v>1740</v>
      </c>
      <c r="B483" s="114" t="s">
        <v>1959</v>
      </c>
      <c r="C483" s="114">
        <v>2</v>
      </c>
      <c r="D483" s="116">
        <v>0.0005352281502286346</v>
      </c>
      <c r="E483" s="116">
        <v>1.022154083026638</v>
      </c>
      <c r="F483" s="114" t="s">
        <v>2559</v>
      </c>
      <c r="G483" s="114" t="b">
        <v>0</v>
      </c>
      <c r="H483" s="114" t="b">
        <v>0</v>
      </c>
      <c r="I483" s="114" t="b">
        <v>0</v>
      </c>
      <c r="J483" s="114" t="b">
        <v>0</v>
      </c>
      <c r="K483" s="114" t="b">
        <v>0</v>
      </c>
      <c r="L483" s="114" t="b">
        <v>0</v>
      </c>
    </row>
    <row r="484" spans="1:12" ht="15">
      <c r="A484" s="114" t="s">
        <v>1770</v>
      </c>
      <c r="B484" s="114" t="s">
        <v>2134</v>
      </c>
      <c r="C484" s="114">
        <v>2</v>
      </c>
      <c r="D484" s="116">
        <v>0.0006112074525163633</v>
      </c>
      <c r="E484" s="116">
        <v>2.3102541946119564</v>
      </c>
      <c r="F484" s="114" t="s">
        <v>2559</v>
      </c>
      <c r="G484" s="114" t="b">
        <v>0</v>
      </c>
      <c r="H484" s="114" t="b">
        <v>0</v>
      </c>
      <c r="I484" s="114" t="b">
        <v>0</v>
      </c>
      <c r="J484" s="114" t="b">
        <v>0</v>
      </c>
      <c r="K484" s="114" t="b">
        <v>0</v>
      </c>
      <c r="L484" s="114" t="b">
        <v>0</v>
      </c>
    </row>
    <row r="485" spans="1:12" ht="15">
      <c r="A485" s="114" t="s">
        <v>2134</v>
      </c>
      <c r="B485" s="114" t="s">
        <v>1770</v>
      </c>
      <c r="C485" s="114">
        <v>2</v>
      </c>
      <c r="D485" s="116">
        <v>0.0006112074525163633</v>
      </c>
      <c r="E485" s="116">
        <v>2.3102541946119564</v>
      </c>
      <c r="F485" s="114" t="s">
        <v>2559</v>
      </c>
      <c r="G485" s="114" t="b">
        <v>0</v>
      </c>
      <c r="H485" s="114" t="b">
        <v>0</v>
      </c>
      <c r="I485" s="114" t="b">
        <v>0</v>
      </c>
      <c r="J485" s="114" t="b">
        <v>0</v>
      </c>
      <c r="K485" s="114" t="b">
        <v>0</v>
      </c>
      <c r="L485" s="114" t="b">
        <v>0</v>
      </c>
    </row>
    <row r="486" spans="1:12" ht="15">
      <c r="A486" s="114" t="s">
        <v>1770</v>
      </c>
      <c r="B486" s="114" t="s">
        <v>1759</v>
      </c>
      <c r="C486" s="114">
        <v>2</v>
      </c>
      <c r="D486" s="116">
        <v>0.0006112074525163633</v>
      </c>
      <c r="E486" s="116">
        <v>1.3102541946119566</v>
      </c>
      <c r="F486" s="114" t="s">
        <v>2559</v>
      </c>
      <c r="G486" s="114" t="b">
        <v>0</v>
      </c>
      <c r="H486" s="114" t="b">
        <v>0</v>
      </c>
      <c r="I486" s="114" t="b">
        <v>0</v>
      </c>
      <c r="J486" s="114" t="b">
        <v>0</v>
      </c>
      <c r="K486" s="114" t="b">
        <v>0</v>
      </c>
      <c r="L486" s="114" t="b">
        <v>0</v>
      </c>
    </row>
    <row r="487" spans="1:12" ht="15">
      <c r="A487" s="114" t="s">
        <v>1764</v>
      </c>
      <c r="B487" s="114" t="s">
        <v>2135</v>
      </c>
      <c r="C487" s="114">
        <v>2</v>
      </c>
      <c r="D487" s="116">
        <v>0.0005352281502286346</v>
      </c>
      <c r="E487" s="116">
        <v>2.276830439125007</v>
      </c>
      <c r="F487" s="114" t="s">
        <v>2559</v>
      </c>
      <c r="G487" s="114" t="b">
        <v>0</v>
      </c>
      <c r="H487" s="114" t="b">
        <v>0</v>
      </c>
      <c r="I487" s="114" t="b">
        <v>0</v>
      </c>
      <c r="J487" s="114" t="b">
        <v>0</v>
      </c>
      <c r="K487" s="114" t="b">
        <v>1</v>
      </c>
      <c r="L487" s="114" t="b">
        <v>0</v>
      </c>
    </row>
    <row r="488" spans="1:12" ht="15">
      <c r="A488" s="114" t="s">
        <v>1789</v>
      </c>
      <c r="B488" s="114" t="s">
        <v>2136</v>
      </c>
      <c r="C488" s="114">
        <v>2</v>
      </c>
      <c r="D488" s="116">
        <v>0.0005352281502286346</v>
      </c>
      <c r="E488" s="116">
        <v>2.407164207620013</v>
      </c>
      <c r="F488" s="114" t="s">
        <v>2559</v>
      </c>
      <c r="G488" s="114" t="b">
        <v>0</v>
      </c>
      <c r="H488" s="114" t="b">
        <v>0</v>
      </c>
      <c r="I488" s="114" t="b">
        <v>0</v>
      </c>
      <c r="J488" s="114" t="b">
        <v>0</v>
      </c>
      <c r="K488" s="114" t="b">
        <v>1</v>
      </c>
      <c r="L488" s="114" t="b">
        <v>0</v>
      </c>
    </row>
    <row r="489" spans="1:12" ht="15">
      <c r="A489" s="114" t="s">
        <v>2039</v>
      </c>
      <c r="B489" s="114" t="s">
        <v>2040</v>
      </c>
      <c r="C489" s="114">
        <v>2</v>
      </c>
      <c r="D489" s="116">
        <v>0.0005352281502286346</v>
      </c>
      <c r="E489" s="116">
        <v>2.9811954753477314</v>
      </c>
      <c r="F489" s="114" t="s">
        <v>2559</v>
      </c>
      <c r="G489" s="114" t="b">
        <v>0</v>
      </c>
      <c r="H489" s="114" t="b">
        <v>0</v>
      </c>
      <c r="I489" s="114" t="b">
        <v>0</v>
      </c>
      <c r="J489" s="114" t="b">
        <v>0</v>
      </c>
      <c r="K489" s="114" t="b">
        <v>0</v>
      </c>
      <c r="L489" s="114" t="b">
        <v>0</v>
      </c>
    </row>
    <row r="490" spans="1:12" ht="15">
      <c r="A490" s="114" t="s">
        <v>1764</v>
      </c>
      <c r="B490" s="114" t="s">
        <v>2137</v>
      </c>
      <c r="C490" s="114">
        <v>2</v>
      </c>
      <c r="D490" s="116">
        <v>0.0005352281502286346</v>
      </c>
      <c r="E490" s="116">
        <v>2.276830439125007</v>
      </c>
      <c r="F490" s="114" t="s">
        <v>2559</v>
      </c>
      <c r="G490" s="114" t="b">
        <v>0</v>
      </c>
      <c r="H490" s="114" t="b">
        <v>0</v>
      </c>
      <c r="I490" s="114" t="b">
        <v>0</v>
      </c>
      <c r="J490" s="114" t="b">
        <v>0</v>
      </c>
      <c r="K490" s="114" t="b">
        <v>0</v>
      </c>
      <c r="L490" s="114" t="b">
        <v>0</v>
      </c>
    </row>
    <row r="491" spans="1:12" ht="15">
      <c r="A491" s="114" t="s">
        <v>1789</v>
      </c>
      <c r="B491" s="114" t="s">
        <v>1960</v>
      </c>
      <c r="C491" s="114">
        <v>2</v>
      </c>
      <c r="D491" s="116">
        <v>0.0005352281502286346</v>
      </c>
      <c r="E491" s="116">
        <v>2.106134211956032</v>
      </c>
      <c r="F491" s="114" t="s">
        <v>2559</v>
      </c>
      <c r="G491" s="114" t="b">
        <v>0</v>
      </c>
      <c r="H491" s="114" t="b">
        <v>0</v>
      </c>
      <c r="I491" s="114" t="b">
        <v>0</v>
      </c>
      <c r="J491" s="114" t="b">
        <v>0</v>
      </c>
      <c r="K491" s="114" t="b">
        <v>1</v>
      </c>
      <c r="L491" s="114" t="b">
        <v>0</v>
      </c>
    </row>
    <row r="492" spans="1:12" ht="15">
      <c r="A492" s="114" t="s">
        <v>1988</v>
      </c>
      <c r="B492" s="114" t="s">
        <v>1937</v>
      </c>
      <c r="C492" s="114">
        <v>2</v>
      </c>
      <c r="D492" s="116">
        <v>0.0006112074525163633</v>
      </c>
      <c r="E492" s="116">
        <v>2.738157426661437</v>
      </c>
      <c r="F492" s="114" t="s">
        <v>2559</v>
      </c>
      <c r="G492" s="114" t="b">
        <v>0</v>
      </c>
      <c r="H492" s="114" t="b">
        <v>0</v>
      </c>
      <c r="I492" s="114" t="b">
        <v>0</v>
      </c>
      <c r="J492" s="114" t="b">
        <v>0</v>
      </c>
      <c r="K492" s="114" t="b">
        <v>0</v>
      </c>
      <c r="L492" s="114" t="b">
        <v>0</v>
      </c>
    </row>
    <row r="493" spans="1:12" ht="15">
      <c r="A493" s="114" t="s">
        <v>2140</v>
      </c>
      <c r="B493" s="114" t="s">
        <v>1914</v>
      </c>
      <c r="C493" s="114">
        <v>2</v>
      </c>
      <c r="D493" s="116">
        <v>0.0006112074525163633</v>
      </c>
      <c r="E493" s="116">
        <v>2.8051042162920505</v>
      </c>
      <c r="F493" s="114" t="s">
        <v>2559</v>
      </c>
      <c r="G493" s="114" t="b">
        <v>0</v>
      </c>
      <c r="H493" s="114" t="b">
        <v>0</v>
      </c>
      <c r="I493" s="114" t="b">
        <v>0</v>
      </c>
      <c r="J493" s="114" t="b">
        <v>0</v>
      </c>
      <c r="K493" s="114" t="b">
        <v>0</v>
      </c>
      <c r="L493" s="114" t="b">
        <v>0</v>
      </c>
    </row>
    <row r="494" spans="1:12" ht="15">
      <c r="A494" s="114" t="s">
        <v>1914</v>
      </c>
      <c r="B494" s="114" t="s">
        <v>1914</v>
      </c>
      <c r="C494" s="114">
        <v>2</v>
      </c>
      <c r="D494" s="116">
        <v>0.0006112074525163633</v>
      </c>
      <c r="E494" s="116">
        <v>2.3791354840197694</v>
      </c>
      <c r="F494" s="114" t="s">
        <v>2559</v>
      </c>
      <c r="G494" s="114" t="b">
        <v>0</v>
      </c>
      <c r="H494" s="114" t="b">
        <v>0</v>
      </c>
      <c r="I494" s="114" t="b">
        <v>0</v>
      </c>
      <c r="J494" s="114" t="b">
        <v>0</v>
      </c>
      <c r="K494" s="114" t="b">
        <v>0</v>
      </c>
      <c r="L494" s="114" t="b">
        <v>0</v>
      </c>
    </row>
    <row r="495" spans="1:12" ht="15">
      <c r="A495" s="114" t="s">
        <v>1798</v>
      </c>
      <c r="B495" s="114" t="s">
        <v>1739</v>
      </c>
      <c r="C495" s="114">
        <v>2</v>
      </c>
      <c r="D495" s="116">
        <v>0.0005352281502286346</v>
      </c>
      <c r="E495" s="116">
        <v>0.29814843710888206</v>
      </c>
      <c r="F495" s="114" t="s">
        <v>2559</v>
      </c>
      <c r="G495" s="114" t="b">
        <v>0</v>
      </c>
      <c r="H495" s="114" t="b">
        <v>0</v>
      </c>
      <c r="I495" s="114" t="b">
        <v>0</v>
      </c>
      <c r="J495" s="114" t="b">
        <v>0</v>
      </c>
      <c r="K495" s="114" t="b">
        <v>0</v>
      </c>
      <c r="L495" s="114" t="b">
        <v>0</v>
      </c>
    </row>
    <row r="496" spans="1:12" ht="15">
      <c r="A496" s="114" t="s">
        <v>1739</v>
      </c>
      <c r="B496" s="114" t="s">
        <v>1814</v>
      </c>
      <c r="C496" s="114">
        <v>2</v>
      </c>
      <c r="D496" s="116">
        <v>0.0005352281502286346</v>
      </c>
      <c r="E496" s="116">
        <v>0.37676690676325103</v>
      </c>
      <c r="F496" s="114" t="s">
        <v>2559</v>
      </c>
      <c r="G496" s="114" t="b">
        <v>0</v>
      </c>
      <c r="H496" s="114" t="b">
        <v>0</v>
      </c>
      <c r="I496" s="114" t="b">
        <v>0</v>
      </c>
      <c r="J496" s="114" t="b">
        <v>0</v>
      </c>
      <c r="K496" s="114" t="b">
        <v>0</v>
      </c>
      <c r="L496" s="114" t="b">
        <v>0</v>
      </c>
    </row>
    <row r="497" spans="1:12" ht="15">
      <c r="A497" s="114" t="s">
        <v>1814</v>
      </c>
      <c r="B497" s="114" t="s">
        <v>1744</v>
      </c>
      <c r="C497" s="114">
        <v>2</v>
      </c>
      <c r="D497" s="116">
        <v>0.0005352281502286346</v>
      </c>
      <c r="E497" s="116">
        <v>1.022154083026638</v>
      </c>
      <c r="F497" s="114" t="s">
        <v>2559</v>
      </c>
      <c r="G497" s="114" t="b">
        <v>0</v>
      </c>
      <c r="H497" s="114" t="b">
        <v>0</v>
      </c>
      <c r="I497" s="114" t="b">
        <v>0</v>
      </c>
      <c r="J497" s="114" t="b">
        <v>0</v>
      </c>
      <c r="K497" s="114" t="b">
        <v>0</v>
      </c>
      <c r="L497" s="114" t="b">
        <v>0</v>
      </c>
    </row>
    <row r="498" spans="1:12" ht="15">
      <c r="A498" s="114" t="s">
        <v>1744</v>
      </c>
      <c r="B498" s="114" t="s">
        <v>1803</v>
      </c>
      <c r="C498" s="114">
        <v>2</v>
      </c>
      <c r="D498" s="116">
        <v>0.0005352281502286346</v>
      </c>
      <c r="E498" s="116">
        <v>0.9477717198607819</v>
      </c>
      <c r="F498" s="114" t="s">
        <v>2559</v>
      </c>
      <c r="G498" s="114" t="b">
        <v>0</v>
      </c>
      <c r="H498" s="114" t="b">
        <v>0</v>
      </c>
      <c r="I498" s="114" t="b">
        <v>0</v>
      </c>
      <c r="J498" s="114" t="b">
        <v>0</v>
      </c>
      <c r="K498" s="114" t="b">
        <v>0</v>
      </c>
      <c r="L498" s="114" t="b">
        <v>0</v>
      </c>
    </row>
    <row r="499" spans="1:12" ht="15">
      <c r="A499" s="114" t="s">
        <v>1803</v>
      </c>
      <c r="B499" s="114" t="s">
        <v>1739</v>
      </c>
      <c r="C499" s="114">
        <v>2</v>
      </c>
      <c r="D499" s="116">
        <v>0.0005352281502286346</v>
      </c>
      <c r="E499" s="116">
        <v>0.42308717371718213</v>
      </c>
      <c r="F499" s="114" t="s">
        <v>2559</v>
      </c>
      <c r="G499" s="114" t="b">
        <v>0</v>
      </c>
      <c r="H499" s="114" t="b">
        <v>0</v>
      </c>
      <c r="I499" s="114" t="b">
        <v>0</v>
      </c>
      <c r="J499" s="114" t="b">
        <v>0</v>
      </c>
      <c r="K499" s="114" t="b">
        <v>0</v>
      </c>
      <c r="L499" s="114" t="b">
        <v>0</v>
      </c>
    </row>
    <row r="500" spans="1:12" ht="15">
      <c r="A500" s="114" t="s">
        <v>2033</v>
      </c>
      <c r="B500" s="114" t="s">
        <v>1747</v>
      </c>
      <c r="C500" s="114">
        <v>2</v>
      </c>
      <c r="D500" s="116">
        <v>0.0005352281502286346</v>
      </c>
      <c r="E500" s="116">
        <v>1.6801654796837504</v>
      </c>
      <c r="F500" s="114" t="s">
        <v>2559</v>
      </c>
      <c r="G500" s="114" t="b">
        <v>0</v>
      </c>
      <c r="H500" s="114" t="b">
        <v>0</v>
      </c>
      <c r="I500" s="114" t="b">
        <v>0</v>
      </c>
      <c r="J500" s="114" t="b">
        <v>0</v>
      </c>
      <c r="K500" s="114" t="b">
        <v>0</v>
      </c>
      <c r="L500" s="114" t="b">
        <v>0</v>
      </c>
    </row>
    <row r="501" spans="1:12" ht="15">
      <c r="A501" s="114" t="s">
        <v>1742</v>
      </c>
      <c r="B501" s="114" t="s">
        <v>1811</v>
      </c>
      <c r="C501" s="114">
        <v>2</v>
      </c>
      <c r="D501" s="116">
        <v>0.0005352281502286346</v>
      </c>
      <c r="E501" s="116">
        <v>0.6400083415378325</v>
      </c>
      <c r="F501" s="114" t="s">
        <v>2559</v>
      </c>
      <c r="G501" s="114" t="b">
        <v>0</v>
      </c>
      <c r="H501" s="114" t="b">
        <v>0</v>
      </c>
      <c r="I501" s="114" t="b">
        <v>0</v>
      </c>
      <c r="J501" s="114" t="b">
        <v>0</v>
      </c>
      <c r="K501" s="114" t="b">
        <v>0</v>
      </c>
      <c r="L501" s="114" t="b">
        <v>0</v>
      </c>
    </row>
    <row r="502" spans="1:12" ht="15">
      <c r="A502" s="114" t="s">
        <v>1835</v>
      </c>
      <c r="B502" s="114" t="s">
        <v>1739</v>
      </c>
      <c r="C502" s="114">
        <v>2</v>
      </c>
      <c r="D502" s="116">
        <v>0.0005352281502286346</v>
      </c>
      <c r="E502" s="116">
        <v>0.42308717371718213</v>
      </c>
      <c r="F502" s="114" t="s">
        <v>2559</v>
      </c>
      <c r="G502" s="114" t="b">
        <v>0</v>
      </c>
      <c r="H502" s="114" t="b">
        <v>0</v>
      </c>
      <c r="I502" s="114" t="b">
        <v>0</v>
      </c>
      <c r="J502" s="114" t="b">
        <v>0</v>
      </c>
      <c r="K502" s="114" t="b">
        <v>0</v>
      </c>
      <c r="L502" s="114" t="b">
        <v>0</v>
      </c>
    </row>
    <row r="503" spans="1:12" ht="15">
      <c r="A503" s="114" t="s">
        <v>1739</v>
      </c>
      <c r="B503" s="114" t="s">
        <v>1961</v>
      </c>
      <c r="C503" s="114">
        <v>2</v>
      </c>
      <c r="D503" s="116">
        <v>0.0005352281502286346</v>
      </c>
      <c r="E503" s="116">
        <v>0.7125590086864442</v>
      </c>
      <c r="F503" s="114" t="s">
        <v>2559</v>
      </c>
      <c r="G503" s="114" t="b">
        <v>0</v>
      </c>
      <c r="H503" s="114" t="b">
        <v>0</v>
      </c>
      <c r="I503" s="114" t="b">
        <v>0</v>
      </c>
      <c r="J503" s="114" t="b">
        <v>0</v>
      </c>
      <c r="K503" s="114" t="b">
        <v>0</v>
      </c>
      <c r="L503" s="114" t="b">
        <v>0</v>
      </c>
    </row>
    <row r="504" spans="1:12" ht="15">
      <c r="A504" s="114" t="s">
        <v>1961</v>
      </c>
      <c r="B504" s="114" t="s">
        <v>1739</v>
      </c>
      <c r="C504" s="114">
        <v>2</v>
      </c>
      <c r="D504" s="116">
        <v>0.0005352281502286346</v>
      </c>
      <c r="E504" s="116">
        <v>0.7241171693811633</v>
      </c>
      <c r="F504" s="114" t="s">
        <v>2559</v>
      </c>
      <c r="G504" s="114" t="b">
        <v>0</v>
      </c>
      <c r="H504" s="114" t="b">
        <v>0</v>
      </c>
      <c r="I504" s="114" t="b">
        <v>0</v>
      </c>
      <c r="J504" s="114" t="b">
        <v>0</v>
      </c>
      <c r="K504" s="114" t="b">
        <v>0</v>
      </c>
      <c r="L504" s="114" t="b">
        <v>0</v>
      </c>
    </row>
    <row r="505" spans="1:12" ht="15">
      <c r="A505" s="114" t="s">
        <v>2144</v>
      </c>
      <c r="B505" s="114" t="s">
        <v>1894</v>
      </c>
      <c r="C505" s="114">
        <v>2</v>
      </c>
      <c r="D505" s="116">
        <v>0.0005352281502286346</v>
      </c>
      <c r="E505" s="116">
        <v>3.009224198947975</v>
      </c>
      <c r="F505" s="114" t="s">
        <v>2559</v>
      </c>
      <c r="G505" s="114" t="b">
        <v>0</v>
      </c>
      <c r="H505" s="114" t="b">
        <v>0</v>
      </c>
      <c r="I505" s="114" t="b">
        <v>0</v>
      </c>
      <c r="J505" s="114" t="b">
        <v>0</v>
      </c>
      <c r="K505" s="114" t="b">
        <v>0</v>
      </c>
      <c r="L505" s="114" t="b">
        <v>0</v>
      </c>
    </row>
    <row r="506" spans="1:12" ht="15">
      <c r="A506" s="114" t="s">
        <v>1742</v>
      </c>
      <c r="B506" s="114" t="s">
        <v>2045</v>
      </c>
      <c r="C506" s="114">
        <v>2</v>
      </c>
      <c r="D506" s="116">
        <v>0.0006112074525163633</v>
      </c>
      <c r="E506" s="116">
        <v>1.2140396092655512</v>
      </c>
      <c r="F506" s="114" t="s">
        <v>2559</v>
      </c>
      <c r="G506" s="114" t="b">
        <v>0</v>
      </c>
      <c r="H506" s="114" t="b">
        <v>0</v>
      </c>
      <c r="I506" s="114" t="b">
        <v>0</v>
      </c>
      <c r="J506" s="114" t="b">
        <v>0</v>
      </c>
      <c r="K506" s="114" t="b">
        <v>0</v>
      </c>
      <c r="L506" s="114" t="b">
        <v>0</v>
      </c>
    </row>
    <row r="507" spans="1:12" ht="15">
      <c r="A507" s="114" t="s">
        <v>2045</v>
      </c>
      <c r="B507" s="114" t="s">
        <v>1739</v>
      </c>
      <c r="C507" s="114">
        <v>2</v>
      </c>
      <c r="D507" s="116">
        <v>0.0006112074525163633</v>
      </c>
      <c r="E507" s="116">
        <v>0.9002084284368445</v>
      </c>
      <c r="F507" s="114" t="s">
        <v>2559</v>
      </c>
      <c r="G507" s="114" t="b">
        <v>0</v>
      </c>
      <c r="H507" s="114" t="b">
        <v>0</v>
      </c>
      <c r="I507" s="114" t="b">
        <v>0</v>
      </c>
      <c r="J507" s="114" t="b">
        <v>0</v>
      </c>
      <c r="K507" s="114" t="b">
        <v>0</v>
      </c>
      <c r="L507" s="114" t="b">
        <v>0</v>
      </c>
    </row>
    <row r="508" spans="1:12" ht="15">
      <c r="A508" s="114" t="s">
        <v>1739</v>
      </c>
      <c r="B508" s="114" t="s">
        <v>2045</v>
      </c>
      <c r="C508" s="114">
        <v>2</v>
      </c>
      <c r="D508" s="116">
        <v>0.0006112074525163633</v>
      </c>
      <c r="E508" s="116">
        <v>0.8886502677421254</v>
      </c>
      <c r="F508" s="114" t="s">
        <v>2559</v>
      </c>
      <c r="G508" s="114" t="b">
        <v>0</v>
      </c>
      <c r="H508" s="114" t="b">
        <v>0</v>
      </c>
      <c r="I508" s="114" t="b">
        <v>0</v>
      </c>
      <c r="J508" s="114" t="b">
        <v>0</v>
      </c>
      <c r="K508" s="114" t="b">
        <v>0</v>
      </c>
      <c r="L508" s="114" t="b">
        <v>0</v>
      </c>
    </row>
    <row r="509" spans="1:12" ht="15">
      <c r="A509" s="114" t="s">
        <v>2296</v>
      </c>
      <c r="B509" s="114" t="s">
        <v>2046</v>
      </c>
      <c r="C509" s="114">
        <v>2</v>
      </c>
      <c r="D509" s="116">
        <v>0.0006112074525163633</v>
      </c>
      <c r="E509" s="116">
        <v>3.2822254710117127</v>
      </c>
      <c r="F509" s="114" t="s">
        <v>2559</v>
      </c>
      <c r="G509" s="114" t="b">
        <v>0</v>
      </c>
      <c r="H509" s="114" t="b">
        <v>0</v>
      </c>
      <c r="I509" s="114" t="b">
        <v>0</v>
      </c>
      <c r="J509" s="114" t="b">
        <v>0</v>
      </c>
      <c r="K509" s="114" t="b">
        <v>0</v>
      </c>
      <c r="L509" s="114" t="b">
        <v>0</v>
      </c>
    </row>
    <row r="510" spans="1:12" ht="15">
      <c r="A510" s="114" t="s">
        <v>1773</v>
      </c>
      <c r="B510" s="114" t="s">
        <v>1773</v>
      </c>
      <c r="C510" s="114">
        <v>2</v>
      </c>
      <c r="D510" s="116">
        <v>0.0006112074525163633</v>
      </c>
      <c r="E510" s="116">
        <v>1.5013683272521443</v>
      </c>
      <c r="F510" s="114" t="s">
        <v>2559</v>
      </c>
      <c r="G510" s="114" t="b">
        <v>0</v>
      </c>
      <c r="H510" s="114" t="b">
        <v>0</v>
      </c>
      <c r="I510" s="114" t="b">
        <v>0</v>
      </c>
      <c r="J510" s="114" t="b">
        <v>0</v>
      </c>
      <c r="K510" s="114" t="b">
        <v>0</v>
      </c>
      <c r="L510" s="114" t="b">
        <v>0</v>
      </c>
    </row>
    <row r="511" spans="1:12" ht="15">
      <c r="A511" s="114" t="s">
        <v>1773</v>
      </c>
      <c r="B511" s="114" t="s">
        <v>1741</v>
      </c>
      <c r="C511" s="114">
        <v>2</v>
      </c>
      <c r="D511" s="116">
        <v>0.0005352281502286346</v>
      </c>
      <c r="E511" s="116">
        <v>0.4414922363999062</v>
      </c>
      <c r="F511" s="114" t="s">
        <v>2559</v>
      </c>
      <c r="G511" s="114" t="b">
        <v>0</v>
      </c>
      <c r="H511" s="114" t="b">
        <v>0</v>
      </c>
      <c r="I511" s="114" t="b">
        <v>0</v>
      </c>
      <c r="J511" s="114" t="b">
        <v>0</v>
      </c>
      <c r="K511" s="114" t="b">
        <v>0</v>
      </c>
      <c r="L511" s="114" t="b">
        <v>0</v>
      </c>
    </row>
    <row r="512" spans="1:12" ht="15">
      <c r="A512" s="114" t="s">
        <v>1742</v>
      </c>
      <c r="B512" s="114" t="s">
        <v>2297</v>
      </c>
      <c r="C512" s="114">
        <v>2</v>
      </c>
      <c r="D512" s="116">
        <v>0.0005352281502286346</v>
      </c>
      <c r="E512" s="116">
        <v>1.5150696049295325</v>
      </c>
      <c r="F512" s="114" t="s">
        <v>2559</v>
      </c>
      <c r="G512" s="114" t="b">
        <v>0</v>
      </c>
      <c r="H512" s="114" t="b">
        <v>0</v>
      </c>
      <c r="I512" s="114" t="b">
        <v>0</v>
      </c>
      <c r="J512" s="114" t="b">
        <v>0</v>
      </c>
      <c r="K512" s="114" t="b">
        <v>0</v>
      </c>
      <c r="L512" s="114" t="b">
        <v>0</v>
      </c>
    </row>
    <row r="513" spans="1:12" ht="15">
      <c r="A513" s="114" t="s">
        <v>1870</v>
      </c>
      <c r="B513" s="114" t="s">
        <v>1741</v>
      </c>
      <c r="C513" s="114">
        <v>2</v>
      </c>
      <c r="D513" s="116">
        <v>0.0005352281502286346</v>
      </c>
      <c r="E513" s="116">
        <v>0.8094690216945005</v>
      </c>
      <c r="F513" s="114" t="s">
        <v>2559</v>
      </c>
      <c r="G513" s="114" t="b">
        <v>0</v>
      </c>
      <c r="H513" s="114" t="b">
        <v>0</v>
      </c>
      <c r="I513" s="114" t="b">
        <v>0</v>
      </c>
      <c r="J513" s="114" t="b">
        <v>0</v>
      </c>
      <c r="K513" s="114" t="b">
        <v>0</v>
      </c>
      <c r="L513" s="114" t="b">
        <v>0</v>
      </c>
    </row>
    <row r="514" spans="1:12" ht="15">
      <c r="A514" s="114" t="s">
        <v>1794</v>
      </c>
      <c r="B514" s="114" t="s">
        <v>2299</v>
      </c>
      <c r="C514" s="114">
        <v>2</v>
      </c>
      <c r="D514" s="116">
        <v>0.0005352281502286346</v>
      </c>
      <c r="E514" s="116">
        <v>2.653836540961401</v>
      </c>
      <c r="F514" s="114" t="s">
        <v>2559</v>
      </c>
      <c r="G514" s="114" t="b">
        <v>0</v>
      </c>
      <c r="H514" s="114" t="b">
        <v>0</v>
      </c>
      <c r="I514" s="114" t="b">
        <v>0</v>
      </c>
      <c r="J514" s="114" t="b">
        <v>0</v>
      </c>
      <c r="K514" s="114" t="b">
        <v>0</v>
      </c>
      <c r="L514" s="114" t="b">
        <v>0</v>
      </c>
    </row>
    <row r="515" spans="1:12" ht="15">
      <c r="A515" s="114" t="s">
        <v>2299</v>
      </c>
      <c r="B515" s="114" t="s">
        <v>2300</v>
      </c>
      <c r="C515" s="114">
        <v>2</v>
      </c>
      <c r="D515" s="116">
        <v>0.0005352281502286346</v>
      </c>
      <c r="E515" s="116">
        <v>3.583255466675694</v>
      </c>
      <c r="F515" s="114" t="s">
        <v>2559</v>
      </c>
      <c r="G515" s="114" t="b">
        <v>0</v>
      </c>
      <c r="H515" s="114" t="b">
        <v>0</v>
      </c>
      <c r="I515" s="114" t="b">
        <v>0</v>
      </c>
      <c r="J515" s="114" t="b">
        <v>0</v>
      </c>
      <c r="K515" s="114" t="b">
        <v>0</v>
      </c>
      <c r="L515" s="114" t="b">
        <v>0</v>
      </c>
    </row>
    <row r="516" spans="1:12" ht="15">
      <c r="A516" s="114" t="s">
        <v>1890</v>
      </c>
      <c r="B516" s="114" t="s">
        <v>1741</v>
      </c>
      <c r="C516" s="114">
        <v>2</v>
      </c>
      <c r="D516" s="116">
        <v>0.0006112074525163633</v>
      </c>
      <c r="E516" s="116">
        <v>0.8094690216945005</v>
      </c>
      <c r="F516" s="114" t="s">
        <v>2559</v>
      </c>
      <c r="G516" s="114" t="b">
        <v>0</v>
      </c>
      <c r="H516" s="114" t="b">
        <v>0</v>
      </c>
      <c r="I516" s="114" t="b">
        <v>0</v>
      </c>
      <c r="J516" s="114" t="b">
        <v>0</v>
      </c>
      <c r="K516" s="114" t="b">
        <v>0</v>
      </c>
      <c r="L516" s="114" t="b">
        <v>0</v>
      </c>
    </row>
    <row r="517" spans="1:12" ht="15">
      <c r="A517" s="114" t="s">
        <v>1767</v>
      </c>
      <c r="B517" s="114" t="s">
        <v>1744</v>
      </c>
      <c r="C517" s="114">
        <v>2</v>
      </c>
      <c r="D517" s="116">
        <v>0.0005352281502286346</v>
      </c>
      <c r="E517" s="116">
        <v>0.7703421100328386</v>
      </c>
      <c r="F517" s="114" t="s">
        <v>2559</v>
      </c>
      <c r="G517" s="114" t="b">
        <v>0</v>
      </c>
      <c r="H517" s="114" t="b">
        <v>0</v>
      </c>
      <c r="I517" s="114" t="b">
        <v>0</v>
      </c>
      <c r="J517" s="114" t="b">
        <v>0</v>
      </c>
      <c r="K517" s="114" t="b">
        <v>0</v>
      </c>
      <c r="L517" s="114" t="b">
        <v>0</v>
      </c>
    </row>
    <row r="518" spans="1:12" ht="15">
      <c r="A518" s="114" t="s">
        <v>2047</v>
      </c>
      <c r="B518" s="114" t="s">
        <v>2047</v>
      </c>
      <c r="C518" s="114">
        <v>2</v>
      </c>
      <c r="D518" s="116">
        <v>0.0006112074525163633</v>
      </c>
      <c r="E518" s="116">
        <v>3.106134211956032</v>
      </c>
      <c r="F518" s="114" t="s">
        <v>2559</v>
      </c>
      <c r="G518" s="114" t="b">
        <v>0</v>
      </c>
      <c r="H518" s="114" t="b">
        <v>0</v>
      </c>
      <c r="I518" s="114" t="b">
        <v>0</v>
      </c>
      <c r="J518" s="114" t="b">
        <v>0</v>
      </c>
      <c r="K518" s="114" t="b">
        <v>0</v>
      </c>
      <c r="L518" s="114" t="b">
        <v>0</v>
      </c>
    </row>
    <row r="519" spans="1:12" ht="15">
      <c r="A519" s="114" t="s">
        <v>1743</v>
      </c>
      <c r="B519" s="114" t="s">
        <v>1836</v>
      </c>
      <c r="C519" s="114">
        <v>2</v>
      </c>
      <c r="D519" s="116">
        <v>0.0006112074525163633</v>
      </c>
      <c r="E519" s="116">
        <v>0.7539516938446692</v>
      </c>
      <c r="F519" s="114" t="s">
        <v>2559</v>
      </c>
      <c r="G519" s="114" t="b">
        <v>0</v>
      </c>
      <c r="H519" s="114" t="b">
        <v>0</v>
      </c>
      <c r="I519" s="114" t="b">
        <v>0</v>
      </c>
      <c r="J519" s="114" t="b">
        <v>0</v>
      </c>
      <c r="K519" s="114" t="b">
        <v>0</v>
      </c>
      <c r="L519" s="114" t="b">
        <v>0</v>
      </c>
    </row>
    <row r="520" spans="1:12" ht="15">
      <c r="A520" s="114" t="s">
        <v>1836</v>
      </c>
      <c r="B520" s="114" t="s">
        <v>1836</v>
      </c>
      <c r="C520" s="114">
        <v>2</v>
      </c>
      <c r="D520" s="116">
        <v>0.0006112074525163633</v>
      </c>
      <c r="E520" s="116">
        <v>2.064741526797807</v>
      </c>
      <c r="F520" s="114" t="s">
        <v>2559</v>
      </c>
      <c r="G520" s="114" t="b">
        <v>0</v>
      </c>
      <c r="H520" s="114" t="b">
        <v>0</v>
      </c>
      <c r="I520" s="114" t="b">
        <v>0</v>
      </c>
      <c r="J520" s="114" t="b">
        <v>0</v>
      </c>
      <c r="K520" s="114" t="b">
        <v>0</v>
      </c>
      <c r="L520" s="114" t="b">
        <v>0</v>
      </c>
    </row>
    <row r="521" spans="1:12" ht="15">
      <c r="A521" s="114" t="s">
        <v>2147</v>
      </c>
      <c r="B521" s="114" t="s">
        <v>1739</v>
      </c>
      <c r="C521" s="114">
        <v>2</v>
      </c>
      <c r="D521" s="116">
        <v>0.0006112074525163633</v>
      </c>
      <c r="E521" s="116">
        <v>1.0251471650451445</v>
      </c>
      <c r="F521" s="114" t="s">
        <v>2559</v>
      </c>
      <c r="G521" s="114" t="b">
        <v>0</v>
      </c>
      <c r="H521" s="114" t="b">
        <v>0</v>
      </c>
      <c r="I521" s="114" t="b">
        <v>0</v>
      </c>
      <c r="J521" s="114" t="b">
        <v>0</v>
      </c>
      <c r="K521" s="114" t="b">
        <v>0</v>
      </c>
      <c r="L521" s="114" t="b">
        <v>0</v>
      </c>
    </row>
    <row r="522" spans="1:12" ht="15">
      <c r="A522" s="114" t="s">
        <v>1749</v>
      </c>
      <c r="B522" s="114" t="s">
        <v>1876</v>
      </c>
      <c r="C522" s="114">
        <v>2</v>
      </c>
      <c r="D522" s="116">
        <v>0.0006112074525163633</v>
      </c>
      <c r="E522" s="116">
        <v>1.437127430997456</v>
      </c>
      <c r="F522" s="114" t="s">
        <v>2559</v>
      </c>
      <c r="G522" s="114" t="b">
        <v>0</v>
      </c>
      <c r="H522" s="114" t="b">
        <v>0</v>
      </c>
      <c r="I522" s="114" t="b">
        <v>0</v>
      </c>
      <c r="J522" s="114" t="b">
        <v>0</v>
      </c>
      <c r="K522" s="114" t="b">
        <v>0</v>
      </c>
      <c r="L522" s="114" t="b">
        <v>0</v>
      </c>
    </row>
    <row r="523" spans="1:12" ht="15">
      <c r="A523" s="114" t="s">
        <v>1876</v>
      </c>
      <c r="B523" s="114" t="s">
        <v>1749</v>
      </c>
      <c r="C523" s="114">
        <v>2</v>
      </c>
      <c r="D523" s="116">
        <v>0.0006112074525163633</v>
      </c>
      <c r="E523" s="116">
        <v>1.437127430997456</v>
      </c>
      <c r="F523" s="114" t="s">
        <v>2559</v>
      </c>
      <c r="G523" s="114" t="b">
        <v>0</v>
      </c>
      <c r="H523" s="114" t="b">
        <v>0</v>
      </c>
      <c r="I523" s="114" t="b">
        <v>0</v>
      </c>
      <c r="J523" s="114" t="b">
        <v>0</v>
      </c>
      <c r="K523" s="114" t="b">
        <v>0</v>
      </c>
      <c r="L523" s="114" t="b">
        <v>0</v>
      </c>
    </row>
    <row r="524" spans="1:12" ht="15">
      <c r="A524" s="114" t="s">
        <v>1749</v>
      </c>
      <c r="B524" s="114" t="s">
        <v>2148</v>
      </c>
      <c r="C524" s="114">
        <v>2</v>
      </c>
      <c r="D524" s="116">
        <v>0.0006112074525163633</v>
      </c>
      <c r="E524" s="116">
        <v>1.9600061762777936</v>
      </c>
      <c r="F524" s="114" t="s">
        <v>2559</v>
      </c>
      <c r="G524" s="114" t="b">
        <v>0</v>
      </c>
      <c r="H524" s="114" t="b">
        <v>0</v>
      </c>
      <c r="I524" s="114" t="b">
        <v>0</v>
      </c>
      <c r="J524" s="114" t="b">
        <v>0</v>
      </c>
      <c r="K524" s="114" t="b">
        <v>0</v>
      </c>
      <c r="L524" s="114" t="b">
        <v>0</v>
      </c>
    </row>
    <row r="525" spans="1:12" ht="15">
      <c r="A525" s="114" t="s">
        <v>1837</v>
      </c>
      <c r="B525" s="114" t="s">
        <v>1992</v>
      </c>
      <c r="C525" s="114">
        <v>2</v>
      </c>
      <c r="D525" s="116">
        <v>0.0006112074525163633</v>
      </c>
      <c r="E525" s="116">
        <v>2.407164207620013</v>
      </c>
      <c r="F525" s="114" t="s">
        <v>2559</v>
      </c>
      <c r="G525" s="114" t="b">
        <v>0</v>
      </c>
      <c r="H525" s="114" t="b">
        <v>0</v>
      </c>
      <c r="I525" s="114" t="b">
        <v>0</v>
      </c>
      <c r="J525" s="114" t="b">
        <v>0</v>
      </c>
      <c r="K525" s="114" t="b">
        <v>1</v>
      </c>
      <c r="L525" s="114" t="b">
        <v>0</v>
      </c>
    </row>
    <row r="526" spans="1:12" ht="15">
      <c r="A526" s="114" t="s">
        <v>2303</v>
      </c>
      <c r="B526" s="114" t="s">
        <v>1749</v>
      </c>
      <c r="C526" s="114">
        <v>2</v>
      </c>
      <c r="D526" s="116">
        <v>0.0006112074525163633</v>
      </c>
      <c r="E526" s="116">
        <v>2.136097435333475</v>
      </c>
      <c r="F526" s="114" t="s">
        <v>2559</v>
      </c>
      <c r="G526" s="114" t="b">
        <v>0</v>
      </c>
      <c r="H526" s="114" t="b">
        <v>0</v>
      </c>
      <c r="I526" s="114" t="b">
        <v>0</v>
      </c>
      <c r="J526" s="114" t="b">
        <v>0</v>
      </c>
      <c r="K526" s="114" t="b">
        <v>0</v>
      </c>
      <c r="L526" s="114" t="b">
        <v>0</v>
      </c>
    </row>
    <row r="527" spans="1:12" ht="15">
      <c r="A527" s="114" t="s">
        <v>1765</v>
      </c>
      <c r="B527" s="114" t="s">
        <v>1749</v>
      </c>
      <c r="C527" s="114">
        <v>2</v>
      </c>
      <c r="D527" s="116">
        <v>0.0006112074525163633</v>
      </c>
      <c r="E527" s="116">
        <v>1.0391874223254185</v>
      </c>
      <c r="F527" s="114" t="s">
        <v>2559</v>
      </c>
      <c r="G527" s="114" t="b">
        <v>0</v>
      </c>
      <c r="H527" s="114" t="b">
        <v>0</v>
      </c>
      <c r="I527" s="114" t="b">
        <v>0</v>
      </c>
      <c r="J527" s="114" t="b">
        <v>0</v>
      </c>
      <c r="K527" s="114" t="b">
        <v>0</v>
      </c>
      <c r="L527" s="114" t="b">
        <v>0</v>
      </c>
    </row>
    <row r="528" spans="1:12" ht="15">
      <c r="A528" s="114" t="s">
        <v>1749</v>
      </c>
      <c r="B528" s="114" t="s">
        <v>1765</v>
      </c>
      <c r="C528" s="114">
        <v>2</v>
      </c>
      <c r="D528" s="116">
        <v>0.0006112074525163633</v>
      </c>
      <c r="E528" s="116">
        <v>1.022154083026638</v>
      </c>
      <c r="F528" s="114" t="s">
        <v>2559</v>
      </c>
      <c r="G528" s="114" t="b">
        <v>0</v>
      </c>
      <c r="H528" s="114" t="b">
        <v>0</v>
      </c>
      <c r="I528" s="114" t="b">
        <v>0</v>
      </c>
      <c r="J528" s="114" t="b">
        <v>0</v>
      </c>
      <c r="K528" s="114" t="b">
        <v>0</v>
      </c>
      <c r="L528" s="114" t="b">
        <v>0</v>
      </c>
    </row>
    <row r="529" spans="1:12" ht="15">
      <c r="A529" s="114" t="s">
        <v>1877</v>
      </c>
      <c r="B529" s="114" t="s">
        <v>1877</v>
      </c>
      <c r="C529" s="114">
        <v>2</v>
      </c>
      <c r="D529" s="116">
        <v>0.0005352281502286346</v>
      </c>
      <c r="E529" s="116">
        <v>2.1853154580036565</v>
      </c>
      <c r="F529" s="114" t="s">
        <v>2559</v>
      </c>
      <c r="G529" s="114" t="b">
        <v>0</v>
      </c>
      <c r="H529" s="114" t="b">
        <v>0</v>
      </c>
      <c r="I529" s="114" t="b">
        <v>0</v>
      </c>
      <c r="J529" s="114" t="b">
        <v>0</v>
      </c>
      <c r="K529" s="114" t="b">
        <v>0</v>
      </c>
      <c r="L529" s="114" t="b">
        <v>0</v>
      </c>
    </row>
    <row r="530" spans="1:12" ht="15">
      <c r="A530" s="114" t="s">
        <v>1877</v>
      </c>
      <c r="B530" s="114" t="s">
        <v>1896</v>
      </c>
      <c r="C530" s="114">
        <v>2</v>
      </c>
      <c r="D530" s="116">
        <v>0.0005352281502286346</v>
      </c>
      <c r="E530" s="116">
        <v>2.407164207620013</v>
      </c>
      <c r="F530" s="114" t="s">
        <v>2559</v>
      </c>
      <c r="G530" s="114" t="b">
        <v>0</v>
      </c>
      <c r="H530" s="114" t="b">
        <v>0</v>
      </c>
      <c r="I530" s="114" t="b">
        <v>0</v>
      </c>
      <c r="J530" s="114" t="b">
        <v>0</v>
      </c>
      <c r="K530" s="114" t="b">
        <v>0</v>
      </c>
      <c r="L530" s="114" t="b">
        <v>0</v>
      </c>
    </row>
    <row r="531" spans="1:12" ht="15">
      <c r="A531" s="114" t="s">
        <v>1756</v>
      </c>
      <c r="B531" s="114" t="s">
        <v>1756</v>
      </c>
      <c r="C531" s="114">
        <v>2</v>
      </c>
      <c r="D531" s="116">
        <v>0.0005352281502286346</v>
      </c>
      <c r="E531" s="116">
        <v>1.0260491269101624</v>
      </c>
      <c r="F531" s="114" t="s">
        <v>2559</v>
      </c>
      <c r="G531" s="114" t="b">
        <v>0</v>
      </c>
      <c r="H531" s="114" t="b">
        <v>0</v>
      </c>
      <c r="I531" s="114" t="b">
        <v>0</v>
      </c>
      <c r="J531" s="114" t="b">
        <v>0</v>
      </c>
      <c r="K531" s="114" t="b">
        <v>0</v>
      </c>
      <c r="L531" s="114" t="b">
        <v>0</v>
      </c>
    </row>
    <row r="532" spans="1:12" ht="15">
      <c r="A532" s="114" t="s">
        <v>1756</v>
      </c>
      <c r="B532" s="114" t="s">
        <v>1896</v>
      </c>
      <c r="C532" s="114">
        <v>2</v>
      </c>
      <c r="D532" s="116">
        <v>0.0005352281502286346</v>
      </c>
      <c r="E532" s="116">
        <v>1.8160996005935137</v>
      </c>
      <c r="F532" s="114" t="s">
        <v>2559</v>
      </c>
      <c r="G532" s="114" t="b">
        <v>0</v>
      </c>
      <c r="H532" s="114" t="b">
        <v>0</v>
      </c>
      <c r="I532" s="114" t="b">
        <v>0</v>
      </c>
      <c r="J532" s="114" t="b">
        <v>0</v>
      </c>
      <c r="K532" s="114" t="b">
        <v>0</v>
      </c>
      <c r="L532" s="114" t="b">
        <v>0</v>
      </c>
    </row>
    <row r="533" spans="1:12" ht="15">
      <c r="A533" s="114" t="s">
        <v>1756</v>
      </c>
      <c r="B533" s="114" t="s">
        <v>1765</v>
      </c>
      <c r="C533" s="114">
        <v>2</v>
      </c>
      <c r="D533" s="116">
        <v>0.0005352281502286346</v>
      </c>
      <c r="E533" s="116">
        <v>1.1792775030063394</v>
      </c>
      <c r="F533" s="114" t="s">
        <v>2559</v>
      </c>
      <c r="G533" s="114" t="b">
        <v>0</v>
      </c>
      <c r="H533" s="114" t="b">
        <v>0</v>
      </c>
      <c r="I533" s="114" t="b">
        <v>0</v>
      </c>
      <c r="J533" s="114" t="b">
        <v>0</v>
      </c>
      <c r="K533" s="114" t="b">
        <v>0</v>
      </c>
      <c r="L533" s="114" t="b">
        <v>0</v>
      </c>
    </row>
    <row r="534" spans="1:12" ht="15">
      <c r="A534" s="114" t="s">
        <v>1765</v>
      </c>
      <c r="B534" s="114" t="s">
        <v>1756</v>
      </c>
      <c r="C534" s="114">
        <v>2</v>
      </c>
      <c r="D534" s="116">
        <v>0.0005352281502286346</v>
      </c>
      <c r="E534" s="116">
        <v>1.219173725264624</v>
      </c>
      <c r="F534" s="114" t="s">
        <v>2559</v>
      </c>
      <c r="G534" s="114" t="b">
        <v>0</v>
      </c>
      <c r="H534" s="114" t="b">
        <v>0</v>
      </c>
      <c r="I534" s="114" t="b">
        <v>0</v>
      </c>
      <c r="J534" s="114" t="b">
        <v>0</v>
      </c>
      <c r="K534" s="114" t="b">
        <v>0</v>
      </c>
      <c r="L534" s="114" t="b">
        <v>0</v>
      </c>
    </row>
    <row r="535" spans="1:12" ht="15">
      <c r="A535" s="114" t="s">
        <v>1756</v>
      </c>
      <c r="B535" s="114" t="s">
        <v>1747</v>
      </c>
      <c r="C535" s="114">
        <v>2</v>
      </c>
      <c r="D535" s="116">
        <v>0.0006112074525163633</v>
      </c>
      <c r="E535" s="116">
        <v>0.6911608639852137</v>
      </c>
      <c r="F535" s="114" t="s">
        <v>2559</v>
      </c>
      <c r="G535" s="114" t="b">
        <v>0</v>
      </c>
      <c r="H535" s="114" t="b">
        <v>0</v>
      </c>
      <c r="I535" s="114" t="b">
        <v>0</v>
      </c>
      <c r="J535" s="114" t="b">
        <v>0</v>
      </c>
      <c r="K535" s="114" t="b">
        <v>0</v>
      </c>
      <c r="L535" s="114" t="b">
        <v>0</v>
      </c>
    </row>
    <row r="536" spans="1:12" ht="15">
      <c r="A536" s="114" t="s">
        <v>2153</v>
      </c>
      <c r="B536" s="114" t="s">
        <v>1739</v>
      </c>
      <c r="C536" s="114">
        <v>2</v>
      </c>
      <c r="D536" s="116">
        <v>0.0006112074525163633</v>
      </c>
      <c r="E536" s="116">
        <v>1.0251471650451445</v>
      </c>
      <c r="F536" s="114" t="s">
        <v>2559</v>
      </c>
      <c r="G536" s="114" t="b">
        <v>0</v>
      </c>
      <c r="H536" s="114" t="b">
        <v>0</v>
      </c>
      <c r="I536" s="114" t="b">
        <v>0</v>
      </c>
      <c r="J536" s="114" t="b">
        <v>0</v>
      </c>
      <c r="K536" s="114" t="b">
        <v>0</v>
      </c>
      <c r="L536" s="114" t="b">
        <v>0</v>
      </c>
    </row>
    <row r="537" spans="1:12" ht="15">
      <c r="A537" s="114" t="s">
        <v>1747</v>
      </c>
      <c r="B537" s="114" t="s">
        <v>1747</v>
      </c>
      <c r="C537" s="114">
        <v>2</v>
      </c>
      <c r="D537" s="116">
        <v>0.0005352281502286346</v>
      </c>
      <c r="E537" s="116">
        <v>0.39013086832123256</v>
      </c>
      <c r="F537" s="114" t="s">
        <v>2559</v>
      </c>
      <c r="G537" s="114" t="b">
        <v>0</v>
      </c>
      <c r="H537" s="114" t="b">
        <v>0</v>
      </c>
      <c r="I537" s="114" t="b">
        <v>0</v>
      </c>
      <c r="J537" s="114" t="b">
        <v>0</v>
      </c>
      <c r="K537" s="114" t="b">
        <v>0</v>
      </c>
      <c r="L537" s="114" t="b">
        <v>0</v>
      </c>
    </row>
    <row r="538" spans="1:12" ht="15">
      <c r="A538" s="114" t="s">
        <v>2049</v>
      </c>
      <c r="B538" s="114" t="s">
        <v>1995</v>
      </c>
      <c r="C538" s="114">
        <v>2</v>
      </c>
      <c r="D538" s="116">
        <v>0.0006112074525163633</v>
      </c>
      <c r="E538" s="116">
        <v>2.884285462339675</v>
      </c>
      <c r="F538" s="114" t="s">
        <v>2559</v>
      </c>
      <c r="G538" s="114" t="b">
        <v>0</v>
      </c>
      <c r="H538" s="114" t="b">
        <v>0</v>
      </c>
      <c r="I538" s="114" t="b">
        <v>0</v>
      </c>
      <c r="J538" s="114" t="b">
        <v>0</v>
      </c>
      <c r="K538" s="114" t="b">
        <v>0</v>
      </c>
      <c r="L538" s="114" t="b">
        <v>0</v>
      </c>
    </row>
    <row r="539" spans="1:12" ht="15">
      <c r="A539" s="114" t="s">
        <v>1995</v>
      </c>
      <c r="B539" s="114" t="s">
        <v>1739</v>
      </c>
      <c r="C539" s="114">
        <v>2</v>
      </c>
      <c r="D539" s="116">
        <v>0.0006112074525163633</v>
      </c>
      <c r="E539" s="116">
        <v>0.8032984154287881</v>
      </c>
      <c r="F539" s="114" t="s">
        <v>2559</v>
      </c>
      <c r="G539" s="114" t="b">
        <v>0</v>
      </c>
      <c r="H539" s="114" t="b">
        <v>0</v>
      </c>
      <c r="I539" s="114" t="b">
        <v>0</v>
      </c>
      <c r="J539" s="114" t="b">
        <v>0</v>
      </c>
      <c r="K539" s="114" t="b">
        <v>0</v>
      </c>
      <c r="L539" s="114" t="b">
        <v>0</v>
      </c>
    </row>
    <row r="540" spans="1:12" ht="15">
      <c r="A540" s="114" t="s">
        <v>1995</v>
      </c>
      <c r="B540" s="114" t="s">
        <v>2049</v>
      </c>
      <c r="C540" s="114">
        <v>2</v>
      </c>
      <c r="D540" s="116">
        <v>0.0006112074525163633</v>
      </c>
      <c r="E540" s="116">
        <v>3.009224198947975</v>
      </c>
      <c r="F540" s="114" t="s">
        <v>2559</v>
      </c>
      <c r="G540" s="114" t="b">
        <v>0</v>
      </c>
      <c r="H540" s="114" t="b">
        <v>0</v>
      </c>
      <c r="I540" s="114" t="b">
        <v>0</v>
      </c>
      <c r="J540" s="114" t="b">
        <v>0</v>
      </c>
      <c r="K540" s="114" t="b">
        <v>0</v>
      </c>
      <c r="L540" s="114" t="b">
        <v>0</v>
      </c>
    </row>
    <row r="541" spans="1:12" ht="15">
      <c r="A541" s="114" t="s">
        <v>1816</v>
      </c>
      <c r="B541" s="114" t="s">
        <v>1741</v>
      </c>
      <c r="C541" s="114">
        <v>2</v>
      </c>
      <c r="D541" s="116">
        <v>0.0005352281502286346</v>
      </c>
      <c r="E541" s="116">
        <v>0.6175834954555874</v>
      </c>
      <c r="F541" s="114" t="s">
        <v>2559</v>
      </c>
      <c r="G541" s="114" t="b">
        <v>0</v>
      </c>
      <c r="H541" s="114" t="b">
        <v>0</v>
      </c>
      <c r="I541" s="114" t="b">
        <v>0</v>
      </c>
      <c r="J541" s="114" t="b">
        <v>0</v>
      </c>
      <c r="K541" s="114" t="b">
        <v>0</v>
      </c>
      <c r="L541" s="114" t="b">
        <v>0</v>
      </c>
    </row>
    <row r="542" spans="1:12" ht="15">
      <c r="A542" s="114" t="s">
        <v>1752</v>
      </c>
      <c r="B542" s="114" t="s">
        <v>1739</v>
      </c>
      <c r="C542" s="114">
        <v>2</v>
      </c>
      <c r="D542" s="116">
        <v>0.0005352281502286346</v>
      </c>
      <c r="E542" s="116">
        <v>-0.16982943817091062</v>
      </c>
      <c r="F542" s="114" t="s">
        <v>2559</v>
      </c>
      <c r="G542" s="114" t="b">
        <v>0</v>
      </c>
      <c r="H542" s="114" t="b">
        <v>0</v>
      </c>
      <c r="I542" s="114" t="b">
        <v>0</v>
      </c>
      <c r="J542" s="114" t="b">
        <v>0</v>
      </c>
      <c r="K542" s="114" t="b">
        <v>0</v>
      </c>
      <c r="L542" s="114" t="b">
        <v>0</v>
      </c>
    </row>
    <row r="543" spans="1:12" ht="15">
      <c r="A543" s="114" t="s">
        <v>1739</v>
      </c>
      <c r="B543" s="114" t="s">
        <v>2155</v>
      </c>
      <c r="C543" s="114">
        <v>2</v>
      </c>
      <c r="D543" s="116">
        <v>0.0005352281502286346</v>
      </c>
      <c r="E543" s="116">
        <v>1.0135890043504254</v>
      </c>
      <c r="F543" s="114" t="s">
        <v>2559</v>
      </c>
      <c r="G543" s="114" t="b">
        <v>0</v>
      </c>
      <c r="H543" s="114" t="b">
        <v>0</v>
      </c>
      <c r="I543" s="114" t="b">
        <v>0</v>
      </c>
      <c r="J543" s="114" t="b">
        <v>0</v>
      </c>
      <c r="K543" s="114" t="b">
        <v>0</v>
      </c>
      <c r="L543" s="114" t="b">
        <v>0</v>
      </c>
    </row>
    <row r="544" spans="1:12" ht="15">
      <c r="A544" s="114" t="s">
        <v>1898</v>
      </c>
      <c r="B544" s="114" t="s">
        <v>1739</v>
      </c>
      <c r="C544" s="114">
        <v>2</v>
      </c>
      <c r="D544" s="116">
        <v>0.0005352281502286346</v>
      </c>
      <c r="E544" s="116">
        <v>0.548025910325482</v>
      </c>
      <c r="F544" s="114" t="s">
        <v>2559</v>
      </c>
      <c r="G544" s="114" t="b">
        <v>0</v>
      </c>
      <c r="H544" s="114" t="b">
        <v>0</v>
      </c>
      <c r="I544" s="114" t="b">
        <v>0</v>
      </c>
      <c r="J544" s="114" t="b">
        <v>0</v>
      </c>
      <c r="K544" s="114" t="b">
        <v>0</v>
      </c>
      <c r="L544" s="114" t="b">
        <v>0</v>
      </c>
    </row>
    <row r="545" spans="1:12" ht="15">
      <c r="A545" s="114" t="s">
        <v>2310</v>
      </c>
      <c r="B545" s="114" t="s">
        <v>2311</v>
      </c>
      <c r="C545" s="114">
        <v>2</v>
      </c>
      <c r="D545" s="116">
        <v>0.0006112074525163633</v>
      </c>
      <c r="E545" s="116">
        <v>3.583255466675694</v>
      </c>
      <c r="F545" s="114" t="s">
        <v>2559</v>
      </c>
      <c r="G545" s="114" t="b">
        <v>0</v>
      </c>
      <c r="H545" s="114" t="b">
        <v>0</v>
      </c>
      <c r="I545" s="114" t="b">
        <v>0</v>
      </c>
      <c r="J545" s="114" t="b">
        <v>0</v>
      </c>
      <c r="K545" s="114" t="b">
        <v>0</v>
      </c>
      <c r="L545" s="114" t="b">
        <v>0</v>
      </c>
    </row>
    <row r="546" spans="1:12" ht="15">
      <c r="A546" s="114" t="s">
        <v>1788</v>
      </c>
      <c r="B546" s="114" t="s">
        <v>1872</v>
      </c>
      <c r="C546" s="114">
        <v>2</v>
      </c>
      <c r="D546" s="116">
        <v>0.0005352281502286346</v>
      </c>
      <c r="E546" s="116">
        <v>1.8842854623396754</v>
      </c>
      <c r="F546" s="114" t="s">
        <v>2559</v>
      </c>
      <c r="G546" s="114" t="b">
        <v>0</v>
      </c>
      <c r="H546" s="114" t="b">
        <v>0</v>
      </c>
      <c r="I546" s="114" t="b">
        <v>0</v>
      </c>
      <c r="J546" s="114" t="b">
        <v>0</v>
      </c>
      <c r="K546" s="114" t="b">
        <v>0</v>
      </c>
      <c r="L546" s="114" t="b">
        <v>0</v>
      </c>
    </row>
    <row r="547" spans="1:12" ht="15">
      <c r="A547" s="114" t="s">
        <v>1963</v>
      </c>
      <c r="B547" s="114" t="s">
        <v>1872</v>
      </c>
      <c r="C547" s="114">
        <v>2</v>
      </c>
      <c r="D547" s="116">
        <v>0.0006112074525163633</v>
      </c>
      <c r="E547" s="116">
        <v>2.407164207620013</v>
      </c>
      <c r="F547" s="114" t="s">
        <v>2559</v>
      </c>
      <c r="G547" s="114" t="b">
        <v>0</v>
      </c>
      <c r="H547" s="114" t="b">
        <v>0</v>
      </c>
      <c r="I547" s="114" t="b">
        <v>0</v>
      </c>
      <c r="J547" s="114" t="b">
        <v>0</v>
      </c>
      <c r="K547" s="114" t="b">
        <v>0</v>
      </c>
      <c r="L547" s="114" t="b">
        <v>0</v>
      </c>
    </row>
    <row r="548" spans="1:12" ht="15">
      <c r="A548" s="114" t="s">
        <v>1748</v>
      </c>
      <c r="B548" s="114" t="s">
        <v>1748</v>
      </c>
      <c r="C548" s="114">
        <v>2</v>
      </c>
      <c r="D548" s="116">
        <v>0.0005352281502286346</v>
      </c>
      <c r="E548" s="116">
        <v>0.4126271033215151</v>
      </c>
      <c r="F548" s="114" t="s">
        <v>2559</v>
      </c>
      <c r="G548" s="114" t="b">
        <v>0</v>
      </c>
      <c r="H548" s="114" t="b">
        <v>0</v>
      </c>
      <c r="I548" s="114" t="b">
        <v>0</v>
      </c>
      <c r="J548" s="114" t="b">
        <v>0</v>
      </c>
      <c r="K548" s="114" t="b">
        <v>0</v>
      </c>
      <c r="L548" s="114" t="b">
        <v>0</v>
      </c>
    </row>
    <row r="549" spans="1:12" ht="15">
      <c r="A549" s="114" t="s">
        <v>1873</v>
      </c>
      <c r="B549" s="114" t="s">
        <v>1795</v>
      </c>
      <c r="C549" s="114">
        <v>2</v>
      </c>
      <c r="D549" s="116">
        <v>0.0005352281502286346</v>
      </c>
      <c r="E549" s="116">
        <v>1.9300429529003504</v>
      </c>
      <c r="F549" s="114" t="s">
        <v>2559</v>
      </c>
      <c r="G549" s="114" t="b">
        <v>0</v>
      </c>
      <c r="H549" s="114" t="b">
        <v>0</v>
      </c>
      <c r="I549" s="114" t="b">
        <v>0</v>
      </c>
      <c r="J549" s="114" t="b">
        <v>0</v>
      </c>
      <c r="K549" s="114" t="b">
        <v>1</v>
      </c>
      <c r="L549" s="114" t="b">
        <v>0</v>
      </c>
    </row>
    <row r="550" spans="1:12" ht="15">
      <c r="A550" s="114" t="s">
        <v>1873</v>
      </c>
      <c r="B550" s="114" t="s">
        <v>1996</v>
      </c>
      <c r="C550" s="114">
        <v>2</v>
      </c>
      <c r="D550" s="116">
        <v>0.0005352281502286346</v>
      </c>
      <c r="E550" s="116">
        <v>2.4863454536676377</v>
      </c>
      <c r="F550" s="114" t="s">
        <v>2559</v>
      </c>
      <c r="G550" s="114" t="b">
        <v>0</v>
      </c>
      <c r="H550" s="114" t="b">
        <v>0</v>
      </c>
      <c r="I550" s="114" t="b">
        <v>0</v>
      </c>
      <c r="J550" s="114" t="b">
        <v>0</v>
      </c>
      <c r="K550" s="114" t="b">
        <v>1</v>
      </c>
      <c r="L550" s="114" t="b">
        <v>0</v>
      </c>
    </row>
    <row r="551" spans="1:12" ht="15">
      <c r="A551" s="114" t="s">
        <v>1996</v>
      </c>
      <c r="B551" s="114" t="s">
        <v>1872</v>
      </c>
      <c r="C551" s="114">
        <v>2</v>
      </c>
      <c r="D551" s="116">
        <v>0.0005352281502286346</v>
      </c>
      <c r="E551" s="116">
        <v>2.4863454536676377</v>
      </c>
      <c r="F551" s="114" t="s">
        <v>2559</v>
      </c>
      <c r="G551" s="114" t="b">
        <v>0</v>
      </c>
      <c r="H551" s="114" t="b">
        <v>1</v>
      </c>
      <c r="I551" s="114" t="b">
        <v>0</v>
      </c>
      <c r="J551" s="114" t="b">
        <v>0</v>
      </c>
      <c r="K551" s="114" t="b">
        <v>0</v>
      </c>
      <c r="L551" s="114" t="b">
        <v>0</v>
      </c>
    </row>
    <row r="552" spans="1:12" ht="15">
      <c r="A552" s="114" t="s">
        <v>1739</v>
      </c>
      <c r="B552" s="114" t="s">
        <v>1756</v>
      </c>
      <c r="C552" s="114">
        <v>2</v>
      </c>
      <c r="D552" s="116">
        <v>0.0005352281502286346</v>
      </c>
      <c r="E552" s="116">
        <v>-0.0774914649969072</v>
      </c>
      <c r="F552" s="114" t="s">
        <v>2559</v>
      </c>
      <c r="G552" s="114" t="b">
        <v>0</v>
      </c>
      <c r="H552" s="114" t="b">
        <v>0</v>
      </c>
      <c r="I552" s="114" t="b">
        <v>0</v>
      </c>
      <c r="J552" s="114" t="b">
        <v>0</v>
      </c>
      <c r="K552" s="114" t="b">
        <v>0</v>
      </c>
      <c r="L552" s="114" t="b">
        <v>0</v>
      </c>
    </row>
    <row r="553" spans="1:12" ht="15">
      <c r="A553" s="114" t="s">
        <v>1767</v>
      </c>
      <c r="B553" s="114" t="s">
        <v>1741</v>
      </c>
      <c r="C553" s="114">
        <v>2</v>
      </c>
      <c r="D553" s="116">
        <v>0.0005352281502286346</v>
      </c>
      <c r="E553" s="116">
        <v>0.3657715224617879</v>
      </c>
      <c r="F553" s="114" t="s">
        <v>2559</v>
      </c>
      <c r="G553" s="114" t="b">
        <v>0</v>
      </c>
      <c r="H553" s="114" t="b">
        <v>0</v>
      </c>
      <c r="I553" s="114" t="b">
        <v>0</v>
      </c>
      <c r="J553" s="114" t="b">
        <v>0</v>
      </c>
      <c r="K553" s="114" t="b">
        <v>0</v>
      </c>
      <c r="L553" s="114" t="b">
        <v>0</v>
      </c>
    </row>
    <row r="554" spans="1:12" ht="15">
      <c r="A554" s="114" t="s">
        <v>1781</v>
      </c>
      <c r="B554" s="114" t="s">
        <v>2050</v>
      </c>
      <c r="C554" s="114">
        <v>2</v>
      </c>
      <c r="D554" s="116">
        <v>0.0005352281502286346</v>
      </c>
      <c r="E554" s="116">
        <v>2.2408327858534878</v>
      </c>
      <c r="F554" s="114" t="s">
        <v>2559</v>
      </c>
      <c r="G554" s="114" t="b">
        <v>0</v>
      </c>
      <c r="H554" s="114" t="b">
        <v>0</v>
      </c>
      <c r="I554" s="114" t="b">
        <v>0</v>
      </c>
      <c r="J554" s="114" t="b">
        <v>0</v>
      </c>
      <c r="K554" s="114" t="b">
        <v>0</v>
      </c>
      <c r="L554" s="114" t="b">
        <v>0</v>
      </c>
    </row>
    <row r="555" spans="1:12" ht="15">
      <c r="A555" s="114" t="s">
        <v>2050</v>
      </c>
      <c r="B555" s="114" t="s">
        <v>1997</v>
      </c>
      <c r="C555" s="114">
        <v>2</v>
      </c>
      <c r="D555" s="116">
        <v>0.0005352281502286346</v>
      </c>
      <c r="E555" s="116">
        <v>2.884285462339675</v>
      </c>
      <c r="F555" s="114" t="s">
        <v>2559</v>
      </c>
      <c r="G555" s="114" t="b">
        <v>0</v>
      </c>
      <c r="H555" s="114" t="b">
        <v>0</v>
      </c>
      <c r="I555" s="114" t="b">
        <v>0</v>
      </c>
      <c r="J555" s="114" t="b">
        <v>0</v>
      </c>
      <c r="K555" s="114" t="b">
        <v>0</v>
      </c>
      <c r="L555" s="114" t="b">
        <v>0</v>
      </c>
    </row>
    <row r="556" spans="1:12" ht="15">
      <c r="A556" s="114" t="s">
        <v>1870</v>
      </c>
      <c r="B556" s="114" t="s">
        <v>1899</v>
      </c>
      <c r="C556" s="114">
        <v>2</v>
      </c>
      <c r="D556" s="116">
        <v>0.0005352281502286346</v>
      </c>
      <c r="E556" s="116">
        <v>2.2768304391250065</v>
      </c>
      <c r="F556" s="114" t="s">
        <v>2559</v>
      </c>
      <c r="G556" s="114" t="b">
        <v>0</v>
      </c>
      <c r="H556" s="114" t="b">
        <v>0</v>
      </c>
      <c r="I556" s="114" t="b">
        <v>0</v>
      </c>
      <c r="J556" s="114" t="b">
        <v>0</v>
      </c>
      <c r="K556" s="114" t="b">
        <v>0</v>
      </c>
      <c r="L556" s="114" t="b">
        <v>0</v>
      </c>
    </row>
    <row r="557" spans="1:12" ht="15">
      <c r="A557" s="114" t="s">
        <v>1899</v>
      </c>
      <c r="B557" s="114" t="s">
        <v>1847</v>
      </c>
      <c r="C557" s="114">
        <v>2</v>
      </c>
      <c r="D557" s="116">
        <v>0.0005352281502286346</v>
      </c>
      <c r="E557" s="116">
        <v>2.2408327858534878</v>
      </c>
      <c r="F557" s="114" t="s">
        <v>2559</v>
      </c>
      <c r="G557" s="114" t="b">
        <v>0</v>
      </c>
      <c r="H557" s="114" t="b">
        <v>0</v>
      </c>
      <c r="I557" s="114" t="b">
        <v>0</v>
      </c>
      <c r="J557" s="114" t="b">
        <v>0</v>
      </c>
      <c r="K557" s="114" t="b">
        <v>0</v>
      </c>
      <c r="L557" s="114" t="b">
        <v>0</v>
      </c>
    </row>
    <row r="558" spans="1:12" ht="15">
      <c r="A558" s="114" t="s">
        <v>1847</v>
      </c>
      <c r="B558" s="114" t="s">
        <v>1787</v>
      </c>
      <c r="C558" s="114">
        <v>2</v>
      </c>
      <c r="D558" s="116">
        <v>0.0005352281502286346</v>
      </c>
      <c r="E558" s="116">
        <v>1.8428927771814503</v>
      </c>
      <c r="F558" s="114" t="s">
        <v>2559</v>
      </c>
      <c r="G558" s="114" t="b">
        <v>0</v>
      </c>
      <c r="H558" s="114" t="b">
        <v>0</v>
      </c>
      <c r="I558" s="114" t="b">
        <v>0</v>
      </c>
      <c r="J558" s="114" t="b">
        <v>0</v>
      </c>
      <c r="K558" s="114" t="b">
        <v>0</v>
      </c>
      <c r="L558" s="114" t="b">
        <v>0</v>
      </c>
    </row>
    <row r="559" spans="1:12" ht="15">
      <c r="A559" s="114" t="s">
        <v>1784</v>
      </c>
      <c r="B559" s="114" t="s">
        <v>1756</v>
      </c>
      <c r="C559" s="114">
        <v>2</v>
      </c>
      <c r="D559" s="116">
        <v>0.0005352281502286346</v>
      </c>
      <c r="E559" s="116">
        <v>1.2948944392027424</v>
      </c>
      <c r="F559" s="114" t="s">
        <v>2559</v>
      </c>
      <c r="G559" s="114" t="b">
        <v>0</v>
      </c>
      <c r="H559" s="114" t="b">
        <v>0</v>
      </c>
      <c r="I559" s="114" t="b">
        <v>0</v>
      </c>
      <c r="J559" s="114" t="b">
        <v>0</v>
      </c>
      <c r="K559" s="114" t="b">
        <v>0</v>
      </c>
      <c r="L559" s="114" t="b">
        <v>0</v>
      </c>
    </row>
    <row r="560" spans="1:12" ht="15">
      <c r="A560" s="114" t="s">
        <v>2313</v>
      </c>
      <c r="B560" s="114" t="s">
        <v>1742</v>
      </c>
      <c r="C560" s="114">
        <v>2</v>
      </c>
      <c r="D560" s="116">
        <v>0.0005352281502286346</v>
      </c>
      <c r="E560" s="116">
        <v>1.5004700963592439</v>
      </c>
      <c r="F560" s="114" t="s">
        <v>2559</v>
      </c>
      <c r="G560" s="114" t="b">
        <v>0</v>
      </c>
      <c r="H560" s="114" t="b">
        <v>1</v>
      </c>
      <c r="I560" s="114" t="b">
        <v>0</v>
      </c>
      <c r="J560" s="114" t="b">
        <v>0</v>
      </c>
      <c r="K560" s="114" t="b">
        <v>0</v>
      </c>
      <c r="L560" s="114" t="b">
        <v>0</v>
      </c>
    </row>
    <row r="561" spans="1:12" ht="15">
      <c r="A561" s="114" t="s">
        <v>1748</v>
      </c>
      <c r="B561" s="114" t="s">
        <v>1742</v>
      </c>
      <c r="C561" s="114">
        <v>2</v>
      </c>
      <c r="D561" s="116">
        <v>0.0005352281502286346</v>
      </c>
      <c r="E561" s="116">
        <v>-0.07356117136847481</v>
      </c>
      <c r="F561" s="114" t="s">
        <v>2559</v>
      </c>
      <c r="G561" s="114" t="b">
        <v>0</v>
      </c>
      <c r="H561" s="114" t="b">
        <v>0</v>
      </c>
      <c r="I561" s="114" t="b">
        <v>0</v>
      </c>
      <c r="J561" s="114" t="b">
        <v>0</v>
      </c>
      <c r="K561" s="114" t="b">
        <v>0</v>
      </c>
      <c r="L561" s="114" t="b">
        <v>0</v>
      </c>
    </row>
    <row r="562" spans="1:12" ht="15">
      <c r="A562" s="114" t="s">
        <v>1805</v>
      </c>
      <c r="B562" s="114" t="s">
        <v>2158</v>
      </c>
      <c r="C562" s="114">
        <v>2</v>
      </c>
      <c r="D562" s="116">
        <v>0.0005352281502286346</v>
      </c>
      <c r="E562" s="116">
        <v>2.5040742206280693</v>
      </c>
      <c r="F562" s="114" t="s">
        <v>2559</v>
      </c>
      <c r="G562" s="114" t="b">
        <v>0</v>
      </c>
      <c r="H562" s="114" t="b">
        <v>0</v>
      </c>
      <c r="I562" s="114" t="b">
        <v>0</v>
      </c>
      <c r="J562" s="114" t="b">
        <v>0</v>
      </c>
      <c r="K562" s="114" t="b">
        <v>0</v>
      </c>
      <c r="L562" s="114" t="b">
        <v>0</v>
      </c>
    </row>
    <row r="563" spans="1:12" ht="15">
      <c r="A563" s="114" t="s">
        <v>2319</v>
      </c>
      <c r="B563" s="114" t="s">
        <v>1940</v>
      </c>
      <c r="C563" s="114">
        <v>2</v>
      </c>
      <c r="D563" s="116">
        <v>0.0006112074525163633</v>
      </c>
      <c r="E563" s="116">
        <v>3.106134211956032</v>
      </c>
      <c r="F563" s="114" t="s">
        <v>2559</v>
      </c>
      <c r="G563" s="114" t="b">
        <v>0</v>
      </c>
      <c r="H563" s="114" t="b">
        <v>0</v>
      </c>
      <c r="I563" s="114" t="b">
        <v>0</v>
      </c>
      <c r="J563" s="114" t="b">
        <v>0</v>
      </c>
      <c r="K563" s="114" t="b">
        <v>0</v>
      </c>
      <c r="L563" s="114" t="b">
        <v>0</v>
      </c>
    </row>
    <row r="564" spans="1:12" ht="15">
      <c r="A564" s="114" t="s">
        <v>2164</v>
      </c>
      <c r="B564" s="114" t="s">
        <v>1966</v>
      </c>
      <c r="C564" s="114">
        <v>2</v>
      </c>
      <c r="D564" s="116">
        <v>0.0005352281502286346</v>
      </c>
      <c r="E564" s="116">
        <v>2.9300429529003504</v>
      </c>
      <c r="F564" s="114" t="s">
        <v>2559</v>
      </c>
      <c r="G564" s="114" t="b">
        <v>0</v>
      </c>
      <c r="H564" s="114" t="b">
        <v>0</v>
      </c>
      <c r="I564" s="114" t="b">
        <v>0</v>
      </c>
      <c r="J564" s="114" t="b">
        <v>0</v>
      </c>
      <c r="K564" s="114" t="b">
        <v>0</v>
      </c>
      <c r="L564" s="114" t="b">
        <v>0</v>
      </c>
    </row>
    <row r="565" spans="1:12" ht="15">
      <c r="A565" s="114" t="s">
        <v>1999</v>
      </c>
      <c r="B565" s="114" t="s">
        <v>2323</v>
      </c>
      <c r="C565" s="114">
        <v>2</v>
      </c>
      <c r="D565" s="116">
        <v>0.0005352281502286346</v>
      </c>
      <c r="E565" s="116">
        <v>3.1853154580036565</v>
      </c>
      <c r="F565" s="114" t="s">
        <v>2559</v>
      </c>
      <c r="G565" s="114" t="b">
        <v>0</v>
      </c>
      <c r="H565" s="114" t="b">
        <v>0</v>
      </c>
      <c r="I565" s="114" t="b">
        <v>0</v>
      </c>
      <c r="J565" s="114" t="b">
        <v>0</v>
      </c>
      <c r="K565" s="114" t="b">
        <v>0</v>
      </c>
      <c r="L565" s="114" t="b">
        <v>0</v>
      </c>
    </row>
    <row r="566" spans="1:12" ht="15">
      <c r="A566" s="114" t="s">
        <v>2323</v>
      </c>
      <c r="B566" s="114" t="s">
        <v>1982</v>
      </c>
      <c r="C566" s="114">
        <v>2</v>
      </c>
      <c r="D566" s="116">
        <v>0.0005352281502286346</v>
      </c>
      <c r="E566" s="116">
        <v>3.1853154580036565</v>
      </c>
      <c r="F566" s="114" t="s">
        <v>2559</v>
      </c>
      <c r="G566" s="114" t="b">
        <v>0</v>
      </c>
      <c r="H566" s="114" t="b">
        <v>0</v>
      </c>
      <c r="I566" s="114" t="b">
        <v>0</v>
      </c>
      <c r="J566" s="114" t="b">
        <v>0</v>
      </c>
      <c r="K566" s="114" t="b">
        <v>0</v>
      </c>
      <c r="L566" s="114" t="b">
        <v>0</v>
      </c>
    </row>
    <row r="567" spans="1:12" ht="15">
      <c r="A567" s="114" t="s">
        <v>1982</v>
      </c>
      <c r="B567" s="114" t="s">
        <v>1966</v>
      </c>
      <c r="C567" s="114">
        <v>2</v>
      </c>
      <c r="D567" s="116">
        <v>0.0005352281502286346</v>
      </c>
      <c r="E567" s="116">
        <v>2.8051042162920505</v>
      </c>
      <c r="F567" s="114" t="s">
        <v>2559</v>
      </c>
      <c r="G567" s="114" t="b">
        <v>0</v>
      </c>
      <c r="H567" s="114" t="b">
        <v>0</v>
      </c>
      <c r="I567" s="114" t="b">
        <v>0</v>
      </c>
      <c r="J567" s="114" t="b">
        <v>0</v>
      </c>
      <c r="K567" s="114" t="b">
        <v>0</v>
      </c>
      <c r="L567" s="114" t="b">
        <v>0</v>
      </c>
    </row>
    <row r="568" spans="1:12" ht="15">
      <c r="A568" s="114" t="s">
        <v>1966</v>
      </c>
      <c r="B568" s="114" t="s">
        <v>1999</v>
      </c>
      <c r="C568" s="114">
        <v>2</v>
      </c>
      <c r="D568" s="116">
        <v>0.0005352281502286346</v>
      </c>
      <c r="E568" s="116">
        <v>2.7081942032839943</v>
      </c>
      <c r="F568" s="114" t="s">
        <v>2559</v>
      </c>
      <c r="G568" s="114" t="b">
        <v>0</v>
      </c>
      <c r="H568" s="114" t="b">
        <v>0</v>
      </c>
      <c r="I568" s="114" t="b">
        <v>0</v>
      </c>
      <c r="J568" s="114" t="b">
        <v>0</v>
      </c>
      <c r="K568" s="114" t="b">
        <v>0</v>
      </c>
      <c r="L568" s="114" t="b">
        <v>0</v>
      </c>
    </row>
    <row r="569" spans="1:12" ht="15">
      <c r="A569" s="114" t="s">
        <v>1999</v>
      </c>
      <c r="B569" s="114" t="s">
        <v>1912</v>
      </c>
      <c r="C569" s="114">
        <v>2</v>
      </c>
      <c r="D569" s="116">
        <v>0.0005352281502286346</v>
      </c>
      <c r="E569" s="116">
        <v>2.583255466675694</v>
      </c>
      <c r="F569" s="114" t="s">
        <v>2559</v>
      </c>
      <c r="G569" s="114" t="b">
        <v>0</v>
      </c>
      <c r="H569" s="114" t="b">
        <v>0</v>
      </c>
      <c r="I569" s="114" t="b">
        <v>0</v>
      </c>
      <c r="J569" s="114" t="b">
        <v>0</v>
      </c>
      <c r="K569" s="114" t="b">
        <v>0</v>
      </c>
      <c r="L569" s="114" t="b">
        <v>0</v>
      </c>
    </row>
    <row r="570" spans="1:12" ht="15">
      <c r="A570" s="114" t="s">
        <v>1912</v>
      </c>
      <c r="B570" s="114" t="s">
        <v>2324</v>
      </c>
      <c r="C570" s="114">
        <v>2</v>
      </c>
      <c r="D570" s="116">
        <v>0.0005352281502286346</v>
      </c>
      <c r="E570" s="116">
        <v>2.9811954753477314</v>
      </c>
      <c r="F570" s="114" t="s">
        <v>2559</v>
      </c>
      <c r="G570" s="114" t="b">
        <v>0</v>
      </c>
      <c r="H570" s="114" t="b">
        <v>0</v>
      </c>
      <c r="I570" s="114" t="b">
        <v>0</v>
      </c>
      <c r="J570" s="114" t="b">
        <v>0</v>
      </c>
      <c r="K570" s="114" t="b">
        <v>0</v>
      </c>
      <c r="L570" s="114" t="b">
        <v>0</v>
      </c>
    </row>
    <row r="571" spans="1:12" ht="15">
      <c r="A571" s="114" t="s">
        <v>2324</v>
      </c>
      <c r="B571" s="114" t="s">
        <v>2000</v>
      </c>
      <c r="C571" s="114">
        <v>2</v>
      </c>
      <c r="D571" s="116">
        <v>0.0005352281502286346</v>
      </c>
      <c r="E571" s="116">
        <v>3.1853154580036565</v>
      </c>
      <c r="F571" s="114" t="s">
        <v>2559</v>
      </c>
      <c r="G571" s="114" t="b">
        <v>0</v>
      </c>
      <c r="H571" s="114" t="b">
        <v>0</v>
      </c>
      <c r="I571" s="114" t="b">
        <v>0</v>
      </c>
      <c r="J571" s="114" t="b">
        <v>0</v>
      </c>
      <c r="K571" s="114" t="b">
        <v>0</v>
      </c>
      <c r="L571" s="114" t="b">
        <v>0</v>
      </c>
    </row>
    <row r="572" spans="1:12" ht="15">
      <c r="A572" s="114" t="s">
        <v>1740</v>
      </c>
      <c r="B572" s="114" t="s">
        <v>1823</v>
      </c>
      <c r="C572" s="114">
        <v>2</v>
      </c>
      <c r="D572" s="116">
        <v>0.0005352281502286346</v>
      </c>
      <c r="E572" s="116">
        <v>0.5102707220477637</v>
      </c>
      <c r="F572" s="114" t="s">
        <v>2559</v>
      </c>
      <c r="G572" s="114" t="b">
        <v>0</v>
      </c>
      <c r="H572" s="114" t="b">
        <v>0</v>
      </c>
      <c r="I572" s="114" t="b">
        <v>0</v>
      </c>
      <c r="J572" s="114" t="b">
        <v>0</v>
      </c>
      <c r="K572" s="114" t="b">
        <v>0</v>
      </c>
      <c r="L572" s="114" t="b">
        <v>0</v>
      </c>
    </row>
    <row r="573" spans="1:12" ht="15">
      <c r="A573" s="114" t="s">
        <v>1740</v>
      </c>
      <c r="B573" s="114" t="s">
        <v>1805</v>
      </c>
      <c r="C573" s="114">
        <v>2</v>
      </c>
      <c r="D573" s="116">
        <v>0.0005352281502286346</v>
      </c>
      <c r="E573" s="116">
        <v>0.4481228152989193</v>
      </c>
      <c r="F573" s="114" t="s">
        <v>2559</v>
      </c>
      <c r="G573" s="114" t="b">
        <v>0</v>
      </c>
      <c r="H573" s="114" t="b">
        <v>0</v>
      </c>
      <c r="I573" s="114" t="b">
        <v>0</v>
      </c>
      <c r="J573" s="114" t="b">
        <v>0</v>
      </c>
      <c r="K573" s="114" t="b">
        <v>0</v>
      </c>
      <c r="L573" s="114" t="b">
        <v>0</v>
      </c>
    </row>
    <row r="574" spans="1:12" ht="15">
      <c r="A574" s="114" t="s">
        <v>1805</v>
      </c>
      <c r="B574" s="114" t="s">
        <v>1899</v>
      </c>
      <c r="C574" s="114">
        <v>2</v>
      </c>
      <c r="D574" s="116">
        <v>0.0005352281502286346</v>
      </c>
      <c r="E574" s="116">
        <v>2.0269529659084067</v>
      </c>
      <c r="F574" s="114" t="s">
        <v>2559</v>
      </c>
      <c r="G574" s="114" t="b">
        <v>0</v>
      </c>
      <c r="H574" s="114" t="b">
        <v>0</v>
      </c>
      <c r="I574" s="114" t="b">
        <v>0</v>
      </c>
      <c r="J574" s="114" t="b">
        <v>0</v>
      </c>
      <c r="K574" s="114" t="b">
        <v>0</v>
      </c>
      <c r="L574" s="114" t="b">
        <v>0</v>
      </c>
    </row>
    <row r="575" spans="1:12" ht="15">
      <c r="A575" s="114" t="s">
        <v>1899</v>
      </c>
      <c r="B575" s="114" t="s">
        <v>1875</v>
      </c>
      <c r="C575" s="114">
        <v>2</v>
      </c>
      <c r="D575" s="116">
        <v>0.0005352281502286346</v>
      </c>
      <c r="E575" s="116">
        <v>2.2822254710117127</v>
      </c>
      <c r="F575" s="114" t="s">
        <v>2559</v>
      </c>
      <c r="G575" s="114" t="b">
        <v>0</v>
      </c>
      <c r="H575" s="114" t="b">
        <v>0</v>
      </c>
      <c r="I575" s="114" t="b">
        <v>0</v>
      </c>
      <c r="J575" s="114" t="b">
        <v>0</v>
      </c>
      <c r="K575" s="114" t="b">
        <v>0</v>
      </c>
      <c r="L575" s="114" t="b">
        <v>0</v>
      </c>
    </row>
    <row r="576" spans="1:12" ht="15">
      <c r="A576" s="114" t="s">
        <v>2328</v>
      </c>
      <c r="B576" s="114" t="s">
        <v>2329</v>
      </c>
      <c r="C576" s="114">
        <v>2</v>
      </c>
      <c r="D576" s="116">
        <v>0.0005352281502286346</v>
      </c>
      <c r="E576" s="116">
        <v>3.583255466675694</v>
      </c>
      <c r="F576" s="114" t="s">
        <v>2559</v>
      </c>
      <c r="G576" s="114" t="b">
        <v>0</v>
      </c>
      <c r="H576" s="114" t="b">
        <v>0</v>
      </c>
      <c r="I576" s="114" t="b">
        <v>0</v>
      </c>
      <c r="J576" s="114" t="b">
        <v>0</v>
      </c>
      <c r="K576" s="114" t="b">
        <v>0</v>
      </c>
      <c r="L576" s="114" t="b">
        <v>0</v>
      </c>
    </row>
    <row r="577" spans="1:12" ht="15">
      <c r="A577" s="114" t="s">
        <v>2169</v>
      </c>
      <c r="B577" s="114" t="s">
        <v>1915</v>
      </c>
      <c r="C577" s="114">
        <v>2</v>
      </c>
      <c r="D577" s="116">
        <v>0.0005352281502286346</v>
      </c>
      <c r="E577" s="116">
        <v>2.8051042162920505</v>
      </c>
      <c r="F577" s="114" t="s">
        <v>2559</v>
      </c>
      <c r="G577" s="114" t="b">
        <v>0</v>
      </c>
      <c r="H577" s="114" t="b">
        <v>0</v>
      </c>
      <c r="I577" s="114" t="b">
        <v>0</v>
      </c>
      <c r="J577" s="114" t="b">
        <v>0</v>
      </c>
      <c r="K577" s="114" t="b">
        <v>0</v>
      </c>
      <c r="L577" s="114" t="b">
        <v>0</v>
      </c>
    </row>
    <row r="578" spans="1:12" ht="15">
      <c r="A578" s="114" t="s">
        <v>1915</v>
      </c>
      <c r="B578" s="114" t="s">
        <v>1739</v>
      </c>
      <c r="C578" s="114">
        <v>2</v>
      </c>
      <c r="D578" s="116">
        <v>0.0005352281502286346</v>
      </c>
      <c r="E578" s="116">
        <v>0.5991784327728633</v>
      </c>
      <c r="F578" s="114" t="s">
        <v>2559</v>
      </c>
      <c r="G578" s="114" t="b">
        <v>0</v>
      </c>
      <c r="H578" s="114" t="b">
        <v>0</v>
      </c>
      <c r="I578" s="114" t="b">
        <v>0</v>
      </c>
      <c r="J578" s="114" t="b">
        <v>0</v>
      </c>
      <c r="K578" s="114" t="b">
        <v>0</v>
      </c>
      <c r="L578" s="114" t="b">
        <v>0</v>
      </c>
    </row>
    <row r="579" spans="1:12" ht="15">
      <c r="A579" s="114" t="s">
        <v>1758</v>
      </c>
      <c r="B579" s="114" t="s">
        <v>2170</v>
      </c>
      <c r="C579" s="114">
        <v>2</v>
      </c>
      <c r="D579" s="116">
        <v>0.0005352281502286346</v>
      </c>
      <c r="E579" s="116">
        <v>2.203044224964088</v>
      </c>
      <c r="F579" s="114" t="s">
        <v>2559</v>
      </c>
      <c r="G579" s="114" t="b">
        <v>0</v>
      </c>
      <c r="H579" s="114" t="b">
        <v>0</v>
      </c>
      <c r="I579" s="114" t="b">
        <v>0</v>
      </c>
      <c r="J579" s="114" t="b">
        <v>0</v>
      </c>
      <c r="K579" s="114" t="b">
        <v>0</v>
      </c>
      <c r="L579" s="114" t="b">
        <v>0</v>
      </c>
    </row>
    <row r="580" spans="1:12" ht="15">
      <c r="A580" s="114" t="s">
        <v>1742</v>
      </c>
      <c r="B580" s="114" t="s">
        <v>2063</v>
      </c>
      <c r="C580" s="114">
        <v>2</v>
      </c>
      <c r="D580" s="116">
        <v>0.0005352281502286346</v>
      </c>
      <c r="E580" s="116">
        <v>1.2140396092655512</v>
      </c>
      <c r="F580" s="114" t="s">
        <v>2559</v>
      </c>
      <c r="G580" s="114" t="b">
        <v>0</v>
      </c>
      <c r="H580" s="114" t="b">
        <v>0</v>
      </c>
      <c r="I580" s="114" t="b">
        <v>0</v>
      </c>
      <c r="J580" s="114" t="b">
        <v>0</v>
      </c>
      <c r="K580" s="114" t="b">
        <v>0</v>
      </c>
      <c r="L580" s="114" t="b">
        <v>0</v>
      </c>
    </row>
    <row r="581" spans="1:12" ht="15">
      <c r="A581" s="114" t="s">
        <v>2063</v>
      </c>
      <c r="B581" s="114" t="s">
        <v>1742</v>
      </c>
      <c r="C581" s="114">
        <v>2</v>
      </c>
      <c r="D581" s="116">
        <v>0.0005352281502286346</v>
      </c>
      <c r="E581" s="116">
        <v>1.1994401006952629</v>
      </c>
      <c r="F581" s="114" t="s">
        <v>2559</v>
      </c>
      <c r="G581" s="114" t="b">
        <v>0</v>
      </c>
      <c r="H581" s="114" t="b">
        <v>0</v>
      </c>
      <c r="I581" s="114" t="b">
        <v>0</v>
      </c>
      <c r="J581" s="114" t="b">
        <v>0</v>
      </c>
      <c r="K581" s="114" t="b">
        <v>0</v>
      </c>
      <c r="L581" s="114" t="b">
        <v>0</v>
      </c>
    </row>
    <row r="582" spans="1:12" ht="15">
      <c r="A582" s="114" t="s">
        <v>2065</v>
      </c>
      <c r="B582" s="114" t="s">
        <v>1739</v>
      </c>
      <c r="C582" s="114">
        <v>2</v>
      </c>
      <c r="D582" s="116">
        <v>0.0006112074525163633</v>
      </c>
      <c r="E582" s="116">
        <v>0.9002084284368445</v>
      </c>
      <c r="F582" s="114" t="s">
        <v>2559</v>
      </c>
      <c r="G582" s="114" t="b">
        <v>0</v>
      </c>
      <c r="H582" s="114" t="b">
        <v>0</v>
      </c>
      <c r="I582" s="114" t="b">
        <v>0</v>
      </c>
      <c r="J582" s="114" t="b">
        <v>0</v>
      </c>
      <c r="K582" s="114" t="b">
        <v>0</v>
      </c>
      <c r="L582" s="114" t="b">
        <v>0</v>
      </c>
    </row>
    <row r="583" spans="1:12" ht="15">
      <c r="A583" s="114" t="s">
        <v>1739</v>
      </c>
      <c r="B583" s="114" t="s">
        <v>2065</v>
      </c>
      <c r="C583" s="114">
        <v>2</v>
      </c>
      <c r="D583" s="116">
        <v>0.0006112074525163633</v>
      </c>
      <c r="E583" s="116">
        <v>0.8886502677421254</v>
      </c>
      <c r="F583" s="114" t="s">
        <v>2559</v>
      </c>
      <c r="G583" s="114" t="b">
        <v>0</v>
      </c>
      <c r="H583" s="114" t="b">
        <v>0</v>
      </c>
      <c r="I583" s="114" t="b">
        <v>0</v>
      </c>
      <c r="J583" s="114" t="b">
        <v>0</v>
      </c>
      <c r="K583" s="114" t="b">
        <v>0</v>
      </c>
      <c r="L583" s="114" t="b">
        <v>0</v>
      </c>
    </row>
    <row r="584" spans="1:12" ht="15">
      <c r="A584" s="114" t="s">
        <v>1767</v>
      </c>
      <c r="B584" s="114" t="s">
        <v>1784</v>
      </c>
      <c r="C584" s="114">
        <v>2</v>
      </c>
      <c r="D584" s="116">
        <v>0.0005352281502286346</v>
      </c>
      <c r="E584" s="116">
        <v>1.4651561545976997</v>
      </c>
      <c r="F584" s="114" t="s">
        <v>2559</v>
      </c>
      <c r="G584" s="114" t="b">
        <v>0</v>
      </c>
      <c r="H584" s="114" t="b">
        <v>0</v>
      </c>
      <c r="I584" s="114" t="b">
        <v>0</v>
      </c>
      <c r="J584" s="114" t="b">
        <v>0</v>
      </c>
      <c r="K584" s="114" t="b">
        <v>0</v>
      </c>
      <c r="L584" s="114" t="b">
        <v>0</v>
      </c>
    </row>
    <row r="585" spans="1:12" ht="15">
      <c r="A585" s="114" t="s">
        <v>1744</v>
      </c>
      <c r="B585" s="114" t="s">
        <v>1821</v>
      </c>
      <c r="C585" s="114">
        <v>2</v>
      </c>
      <c r="D585" s="116">
        <v>0.0005352281502286346</v>
      </c>
      <c r="E585" s="116">
        <v>1.072710456469082</v>
      </c>
      <c r="F585" s="114" t="s">
        <v>2559</v>
      </c>
      <c r="G585" s="114" t="b">
        <v>0</v>
      </c>
      <c r="H585" s="114" t="b">
        <v>0</v>
      </c>
      <c r="I585" s="114" t="b">
        <v>0</v>
      </c>
      <c r="J585" s="114" t="b">
        <v>0</v>
      </c>
      <c r="K585" s="114" t="b">
        <v>0</v>
      </c>
      <c r="L585" s="114" t="b">
        <v>0</v>
      </c>
    </row>
    <row r="586" spans="1:12" ht="15">
      <c r="A586" s="114" t="s">
        <v>1821</v>
      </c>
      <c r="B586" s="114" t="s">
        <v>1739</v>
      </c>
      <c r="C586" s="114">
        <v>2</v>
      </c>
      <c r="D586" s="116">
        <v>0.0006112074525163633</v>
      </c>
      <c r="E586" s="116">
        <v>0.3883250674579701</v>
      </c>
      <c r="F586" s="114" t="s">
        <v>2559</v>
      </c>
      <c r="G586" s="114" t="b">
        <v>0</v>
      </c>
      <c r="H586" s="114" t="b">
        <v>0</v>
      </c>
      <c r="I586" s="114" t="b">
        <v>0</v>
      </c>
      <c r="J586" s="114" t="b">
        <v>0</v>
      </c>
      <c r="K586" s="114" t="b">
        <v>0</v>
      </c>
      <c r="L586" s="114" t="b">
        <v>0</v>
      </c>
    </row>
    <row r="587" spans="1:12" ht="15">
      <c r="A587" s="114" t="s">
        <v>1739</v>
      </c>
      <c r="B587" s="114" t="s">
        <v>1784</v>
      </c>
      <c r="C587" s="114">
        <v>2</v>
      </c>
      <c r="D587" s="116">
        <v>0.0005352281502286346</v>
      </c>
      <c r="E587" s="116">
        <v>0.16849096433616853</v>
      </c>
      <c r="F587" s="114" t="s">
        <v>2559</v>
      </c>
      <c r="G587" s="114" t="b">
        <v>0</v>
      </c>
      <c r="H587" s="114" t="b">
        <v>0</v>
      </c>
      <c r="I587" s="114" t="b">
        <v>0</v>
      </c>
      <c r="J587" s="114" t="b">
        <v>0</v>
      </c>
      <c r="K587" s="114" t="b">
        <v>0</v>
      </c>
      <c r="L587" s="114" t="b">
        <v>0</v>
      </c>
    </row>
    <row r="588" spans="1:12" ht="15">
      <c r="A588" s="114" t="s">
        <v>1739</v>
      </c>
      <c r="B588" s="114" t="s">
        <v>1821</v>
      </c>
      <c r="C588" s="114">
        <v>2</v>
      </c>
      <c r="D588" s="116">
        <v>0.0005352281502286346</v>
      </c>
      <c r="E588" s="116">
        <v>0.41152901302246303</v>
      </c>
      <c r="F588" s="114" t="s">
        <v>2559</v>
      </c>
      <c r="G588" s="114" t="b">
        <v>0</v>
      </c>
      <c r="H588" s="114" t="b">
        <v>0</v>
      </c>
      <c r="I588" s="114" t="b">
        <v>0</v>
      </c>
      <c r="J588" s="114" t="b">
        <v>0</v>
      </c>
      <c r="K588" s="114" t="b">
        <v>0</v>
      </c>
      <c r="L588" s="114" t="b">
        <v>0</v>
      </c>
    </row>
    <row r="589" spans="1:12" ht="15">
      <c r="A589" s="114" t="s">
        <v>2342</v>
      </c>
      <c r="B589" s="114" t="s">
        <v>2181</v>
      </c>
      <c r="C589" s="114">
        <v>2</v>
      </c>
      <c r="D589" s="116">
        <v>0.0006112074525163633</v>
      </c>
      <c r="E589" s="116">
        <v>3.4071642076200126</v>
      </c>
      <c r="F589" s="114" t="s">
        <v>2559</v>
      </c>
      <c r="G589" s="114" t="b">
        <v>0</v>
      </c>
      <c r="H589" s="114" t="b">
        <v>0</v>
      </c>
      <c r="I589" s="114" t="b">
        <v>0</v>
      </c>
      <c r="J589" s="114" t="b">
        <v>0</v>
      </c>
      <c r="K589" s="114" t="b">
        <v>0</v>
      </c>
      <c r="L589" s="114" t="b">
        <v>0</v>
      </c>
    </row>
    <row r="590" spans="1:12" ht="15">
      <c r="A590" s="114" t="s">
        <v>1788</v>
      </c>
      <c r="B590" s="114" t="s">
        <v>1771</v>
      </c>
      <c r="C590" s="114">
        <v>2</v>
      </c>
      <c r="D590" s="116">
        <v>0.0005352281502286346</v>
      </c>
      <c r="E590" s="116">
        <v>1.5040742206280693</v>
      </c>
      <c r="F590" s="114" t="s">
        <v>2559</v>
      </c>
      <c r="G590" s="114" t="b">
        <v>0</v>
      </c>
      <c r="H590" s="114" t="b">
        <v>0</v>
      </c>
      <c r="I590" s="114" t="b">
        <v>0</v>
      </c>
      <c r="J590" s="114" t="b">
        <v>0</v>
      </c>
      <c r="K590" s="114" t="b">
        <v>1</v>
      </c>
      <c r="L590" s="114" t="b">
        <v>0</v>
      </c>
    </row>
    <row r="591" spans="1:12" ht="15">
      <c r="A591" s="114" t="s">
        <v>1758</v>
      </c>
      <c r="B591" s="114" t="s">
        <v>2183</v>
      </c>
      <c r="C591" s="114">
        <v>2</v>
      </c>
      <c r="D591" s="116">
        <v>0.0006112074525163633</v>
      </c>
      <c r="E591" s="116">
        <v>2.203044224964088</v>
      </c>
      <c r="F591" s="114" t="s">
        <v>2559</v>
      </c>
      <c r="G591" s="114" t="b">
        <v>0</v>
      </c>
      <c r="H591" s="114" t="b">
        <v>0</v>
      </c>
      <c r="I591" s="114" t="b">
        <v>0</v>
      </c>
      <c r="J591" s="114" t="b">
        <v>0</v>
      </c>
      <c r="K591" s="114" t="b">
        <v>0</v>
      </c>
      <c r="L591" s="114" t="b">
        <v>0</v>
      </c>
    </row>
    <row r="592" spans="1:12" ht="15">
      <c r="A592" s="114" t="s">
        <v>2183</v>
      </c>
      <c r="B592" s="114" t="s">
        <v>2184</v>
      </c>
      <c r="C592" s="114">
        <v>2</v>
      </c>
      <c r="D592" s="116">
        <v>0.0006112074525163633</v>
      </c>
      <c r="E592" s="116">
        <v>3.2310729485643317</v>
      </c>
      <c r="F592" s="114" t="s">
        <v>2559</v>
      </c>
      <c r="G592" s="114" t="b">
        <v>0</v>
      </c>
      <c r="H592" s="114" t="b">
        <v>0</v>
      </c>
      <c r="I592" s="114" t="b">
        <v>0</v>
      </c>
      <c r="J592" s="114" t="b">
        <v>0</v>
      </c>
      <c r="K592" s="114" t="b">
        <v>0</v>
      </c>
      <c r="L592" s="114" t="b">
        <v>0</v>
      </c>
    </row>
    <row r="593" spans="1:12" ht="15">
      <c r="A593" s="114" t="s">
        <v>1919</v>
      </c>
      <c r="B593" s="114" t="s">
        <v>1760</v>
      </c>
      <c r="C593" s="114">
        <v>2</v>
      </c>
      <c r="D593" s="116">
        <v>0.0006112074525163633</v>
      </c>
      <c r="E593" s="116">
        <v>1.79086377717744</v>
      </c>
      <c r="F593" s="114" t="s">
        <v>2559</v>
      </c>
      <c r="G593" s="114" t="b">
        <v>0</v>
      </c>
      <c r="H593" s="114" t="b">
        <v>0</v>
      </c>
      <c r="I593" s="114" t="b">
        <v>0</v>
      </c>
      <c r="J593" s="114" t="b">
        <v>0</v>
      </c>
      <c r="K593" s="114" t="b">
        <v>0</v>
      </c>
      <c r="L593" s="114" t="b">
        <v>0</v>
      </c>
    </row>
    <row r="594" spans="1:12" ht="15">
      <c r="A594" s="114" t="s">
        <v>1760</v>
      </c>
      <c r="B594" s="114" t="s">
        <v>1758</v>
      </c>
      <c r="C594" s="114">
        <v>2</v>
      </c>
      <c r="D594" s="116">
        <v>0.0006112074525163633</v>
      </c>
      <c r="E594" s="116">
        <v>1.245796205385038</v>
      </c>
      <c r="F594" s="114" t="s">
        <v>2559</v>
      </c>
      <c r="G594" s="114" t="b">
        <v>0</v>
      </c>
      <c r="H594" s="114" t="b">
        <v>0</v>
      </c>
      <c r="I594" s="114" t="b">
        <v>0</v>
      </c>
      <c r="J594" s="114" t="b">
        <v>0</v>
      </c>
      <c r="K594" s="114" t="b">
        <v>0</v>
      </c>
      <c r="L594" s="114" t="b">
        <v>0</v>
      </c>
    </row>
    <row r="595" spans="1:12" ht="15">
      <c r="A595" s="114" t="s">
        <v>1739</v>
      </c>
      <c r="B595" s="114" t="s">
        <v>1760</v>
      </c>
      <c r="C595" s="114">
        <v>2</v>
      </c>
      <c r="D595" s="116">
        <v>0.0005352281502286346</v>
      </c>
      <c r="E595" s="116">
        <v>-0.0006514347641848869</v>
      </c>
      <c r="F595" s="114" t="s">
        <v>2559</v>
      </c>
      <c r="G595" s="114" t="b">
        <v>0</v>
      </c>
      <c r="H595" s="114" t="b">
        <v>0</v>
      </c>
      <c r="I595" s="114" t="b">
        <v>0</v>
      </c>
      <c r="J595" s="114" t="b">
        <v>0</v>
      </c>
      <c r="K595" s="114" t="b">
        <v>0</v>
      </c>
      <c r="L595" s="114" t="b">
        <v>0</v>
      </c>
    </row>
    <row r="596" spans="1:12" ht="15">
      <c r="A596" s="114" t="s">
        <v>1742</v>
      </c>
      <c r="B596" s="114" t="s">
        <v>1760</v>
      </c>
      <c r="C596" s="114">
        <v>2</v>
      </c>
      <c r="D596" s="116">
        <v>0.0006112074525163633</v>
      </c>
      <c r="E596" s="116">
        <v>0.32473790675924097</v>
      </c>
      <c r="F596" s="114" t="s">
        <v>2559</v>
      </c>
      <c r="G596" s="114" t="b">
        <v>0</v>
      </c>
      <c r="H596" s="114" t="b">
        <v>0</v>
      </c>
      <c r="I596" s="114" t="b">
        <v>0</v>
      </c>
      <c r="J596" s="114" t="b">
        <v>0</v>
      </c>
      <c r="K596" s="114" t="b">
        <v>0</v>
      </c>
      <c r="L596" s="114" t="b">
        <v>0</v>
      </c>
    </row>
    <row r="597" spans="1:12" ht="15">
      <c r="A597" s="114" t="s">
        <v>1742</v>
      </c>
      <c r="B597" s="114" t="s">
        <v>2075</v>
      </c>
      <c r="C597" s="114">
        <v>2</v>
      </c>
      <c r="D597" s="116">
        <v>0.0005352281502286346</v>
      </c>
      <c r="E597" s="116">
        <v>1.5150696049295325</v>
      </c>
      <c r="F597" s="114" t="s">
        <v>2559</v>
      </c>
      <c r="G597" s="114" t="b">
        <v>0</v>
      </c>
      <c r="H597" s="114" t="b">
        <v>0</v>
      </c>
      <c r="I597" s="114" t="b">
        <v>0</v>
      </c>
      <c r="J597" s="114" t="b">
        <v>1</v>
      </c>
      <c r="K597" s="114" t="b">
        <v>0</v>
      </c>
      <c r="L597" s="114" t="b">
        <v>0</v>
      </c>
    </row>
    <row r="598" spans="1:12" ht="15">
      <c r="A598" s="114" t="s">
        <v>1817</v>
      </c>
      <c r="B598" s="114" t="s">
        <v>1758</v>
      </c>
      <c r="C598" s="114">
        <v>2</v>
      </c>
      <c r="D598" s="116">
        <v>0.0005352281502286346</v>
      </c>
      <c r="E598" s="116">
        <v>1.5620661676057561</v>
      </c>
      <c r="F598" s="114" t="s">
        <v>2559</v>
      </c>
      <c r="G598" s="114" t="b">
        <v>0</v>
      </c>
      <c r="H598" s="114" t="b">
        <v>0</v>
      </c>
      <c r="I598" s="114" t="b">
        <v>0</v>
      </c>
      <c r="J598" s="114" t="b">
        <v>0</v>
      </c>
      <c r="K598" s="114" t="b">
        <v>0</v>
      </c>
      <c r="L598" s="114" t="b">
        <v>0</v>
      </c>
    </row>
    <row r="599" spans="1:12" ht="15">
      <c r="A599" s="114" t="s">
        <v>1943</v>
      </c>
      <c r="B599" s="114" t="s">
        <v>1739</v>
      </c>
      <c r="C599" s="114">
        <v>2</v>
      </c>
      <c r="D599" s="116">
        <v>0.0005352281502286346</v>
      </c>
      <c r="E599" s="116">
        <v>0.65717037975055</v>
      </c>
      <c r="F599" s="114" t="s">
        <v>2559</v>
      </c>
      <c r="G599" s="114" t="b">
        <v>0</v>
      </c>
      <c r="H599" s="114" t="b">
        <v>0</v>
      </c>
      <c r="I599" s="114" t="b">
        <v>0</v>
      </c>
      <c r="J599" s="114" t="b">
        <v>0</v>
      </c>
      <c r="K599" s="114" t="b">
        <v>0</v>
      </c>
      <c r="L599" s="114" t="b">
        <v>0</v>
      </c>
    </row>
    <row r="600" spans="1:12" ht="15">
      <c r="A600" s="114" t="s">
        <v>2347</v>
      </c>
      <c r="B600" s="114" t="s">
        <v>1742</v>
      </c>
      <c r="C600" s="114">
        <v>2</v>
      </c>
      <c r="D600" s="116">
        <v>0.0006112074525163633</v>
      </c>
      <c r="E600" s="116">
        <v>1.5004700963592439</v>
      </c>
      <c r="F600" s="114" t="s">
        <v>2559</v>
      </c>
      <c r="G600" s="114" t="b">
        <v>0</v>
      </c>
      <c r="H600" s="114" t="b">
        <v>0</v>
      </c>
      <c r="I600" s="114" t="b">
        <v>0</v>
      </c>
      <c r="J600" s="114" t="b">
        <v>0</v>
      </c>
      <c r="K600" s="114" t="b">
        <v>0</v>
      </c>
      <c r="L600" s="114" t="b">
        <v>0</v>
      </c>
    </row>
    <row r="601" spans="1:12" ht="15">
      <c r="A601" s="114" t="s">
        <v>1888</v>
      </c>
      <c r="B601" s="114" t="s">
        <v>1753</v>
      </c>
      <c r="C601" s="114">
        <v>2</v>
      </c>
      <c r="D601" s="116">
        <v>0.0005352281502286346</v>
      </c>
      <c r="E601" s="116">
        <v>1.7125590086864442</v>
      </c>
      <c r="F601" s="114" t="s">
        <v>2559</v>
      </c>
      <c r="G601" s="114" t="b">
        <v>0</v>
      </c>
      <c r="H601" s="114" t="b">
        <v>0</v>
      </c>
      <c r="I601" s="114" t="b">
        <v>0</v>
      </c>
      <c r="J601" s="114" t="b">
        <v>0</v>
      </c>
      <c r="K601" s="114" t="b">
        <v>0</v>
      </c>
      <c r="L601" s="114" t="b">
        <v>0</v>
      </c>
    </row>
    <row r="602" spans="1:12" ht="15">
      <c r="A602" s="114" t="s">
        <v>1839</v>
      </c>
      <c r="B602" s="114" t="s">
        <v>1839</v>
      </c>
      <c r="C602" s="114">
        <v>2</v>
      </c>
      <c r="D602" s="116">
        <v>0.0005352281502286346</v>
      </c>
      <c r="E602" s="116">
        <v>2.026952965908407</v>
      </c>
      <c r="F602" s="114" t="s">
        <v>2559</v>
      </c>
      <c r="G602" s="114" t="b">
        <v>0</v>
      </c>
      <c r="H602" s="114" t="b">
        <v>0</v>
      </c>
      <c r="I602" s="114" t="b">
        <v>0</v>
      </c>
      <c r="J602" s="114" t="b">
        <v>0</v>
      </c>
      <c r="K602" s="114" t="b">
        <v>0</v>
      </c>
      <c r="L602" s="114" t="b">
        <v>0</v>
      </c>
    </row>
    <row r="603" spans="1:12" ht="15">
      <c r="A603" s="114" t="s">
        <v>1839</v>
      </c>
      <c r="B603" s="114" t="s">
        <v>2350</v>
      </c>
      <c r="C603" s="114">
        <v>2</v>
      </c>
      <c r="D603" s="116">
        <v>0.0005352281502286346</v>
      </c>
      <c r="E603" s="116">
        <v>2.8051042162920505</v>
      </c>
      <c r="F603" s="114" t="s">
        <v>2559</v>
      </c>
      <c r="G603" s="114" t="b">
        <v>0</v>
      </c>
      <c r="H603" s="114" t="b">
        <v>0</v>
      </c>
      <c r="I603" s="114" t="b">
        <v>0</v>
      </c>
      <c r="J603" s="114" t="b">
        <v>0</v>
      </c>
      <c r="K603" s="114" t="b">
        <v>0</v>
      </c>
      <c r="L603" s="114" t="b">
        <v>0</v>
      </c>
    </row>
    <row r="604" spans="1:12" ht="15">
      <c r="A604" s="114" t="s">
        <v>2351</v>
      </c>
      <c r="B604" s="114" t="s">
        <v>2352</v>
      </c>
      <c r="C604" s="114">
        <v>2</v>
      </c>
      <c r="D604" s="116">
        <v>0.0005352281502286346</v>
      </c>
      <c r="E604" s="116">
        <v>3.583255466675694</v>
      </c>
      <c r="F604" s="114" t="s">
        <v>2559</v>
      </c>
      <c r="G604" s="114" t="b">
        <v>0</v>
      </c>
      <c r="H604" s="114" t="b">
        <v>0</v>
      </c>
      <c r="I604" s="114" t="b">
        <v>0</v>
      </c>
      <c r="J604" s="114" t="b">
        <v>0</v>
      </c>
      <c r="K604" s="114" t="b">
        <v>0</v>
      </c>
      <c r="L604" s="114" t="b">
        <v>0</v>
      </c>
    </row>
    <row r="605" spans="1:12" ht="15">
      <c r="A605" s="114" t="s">
        <v>2352</v>
      </c>
      <c r="B605" s="114" t="s">
        <v>1827</v>
      </c>
      <c r="C605" s="114">
        <v>2</v>
      </c>
      <c r="D605" s="116">
        <v>0.0005352281502286346</v>
      </c>
      <c r="E605" s="116">
        <v>2.7703421100328383</v>
      </c>
      <c r="F605" s="114" t="s">
        <v>2559</v>
      </c>
      <c r="G605" s="114" t="b">
        <v>0</v>
      </c>
      <c r="H605" s="114" t="b">
        <v>0</v>
      </c>
      <c r="I605" s="114" t="b">
        <v>0</v>
      </c>
      <c r="J605" s="114" t="b">
        <v>0</v>
      </c>
      <c r="K605" s="114" t="b">
        <v>0</v>
      </c>
      <c r="L605" s="114" t="b">
        <v>0</v>
      </c>
    </row>
    <row r="606" spans="1:12" ht="15">
      <c r="A606" s="114" t="s">
        <v>1827</v>
      </c>
      <c r="B606" s="114" t="s">
        <v>1740</v>
      </c>
      <c r="C606" s="114">
        <v>2</v>
      </c>
      <c r="D606" s="116">
        <v>0.0005352281502286346</v>
      </c>
      <c r="E606" s="116">
        <v>0.5414681477039424</v>
      </c>
      <c r="F606" s="114" t="s">
        <v>2559</v>
      </c>
      <c r="G606" s="114" t="b">
        <v>0</v>
      </c>
      <c r="H606" s="114" t="b">
        <v>0</v>
      </c>
      <c r="I606" s="114" t="b">
        <v>0</v>
      </c>
      <c r="J606" s="114" t="b">
        <v>0</v>
      </c>
      <c r="K606" s="114" t="b">
        <v>0</v>
      </c>
      <c r="L606" s="114" t="b">
        <v>0</v>
      </c>
    </row>
    <row r="607" spans="1:12" ht="15">
      <c r="A607" s="114" t="s">
        <v>1765</v>
      </c>
      <c r="B607" s="114" t="s">
        <v>1880</v>
      </c>
      <c r="C607" s="114">
        <v>2</v>
      </c>
      <c r="D607" s="116">
        <v>0.0005352281502286346</v>
      </c>
      <c r="E607" s="116">
        <v>1.787375449331619</v>
      </c>
      <c r="F607" s="114" t="s">
        <v>2559</v>
      </c>
      <c r="G607" s="114" t="b">
        <v>0</v>
      </c>
      <c r="H607" s="114" t="b">
        <v>0</v>
      </c>
      <c r="I607" s="114" t="b">
        <v>0</v>
      </c>
      <c r="J607" s="114" t="b">
        <v>0</v>
      </c>
      <c r="K607" s="114" t="b">
        <v>0</v>
      </c>
      <c r="L607" s="114" t="b">
        <v>0</v>
      </c>
    </row>
    <row r="608" spans="1:12" ht="15">
      <c r="A608" s="114" t="s">
        <v>1880</v>
      </c>
      <c r="B608" s="114" t="s">
        <v>2187</v>
      </c>
      <c r="C608" s="114">
        <v>2</v>
      </c>
      <c r="D608" s="116">
        <v>0.0006112074525163633</v>
      </c>
      <c r="E608" s="116">
        <v>2.7081942032839943</v>
      </c>
      <c r="F608" s="114" t="s">
        <v>2559</v>
      </c>
      <c r="G608" s="114" t="b">
        <v>0</v>
      </c>
      <c r="H608" s="114" t="b">
        <v>0</v>
      </c>
      <c r="I608" s="114" t="b">
        <v>0</v>
      </c>
      <c r="J608" s="114" t="b">
        <v>0</v>
      </c>
      <c r="K608" s="114" t="b">
        <v>0</v>
      </c>
      <c r="L608" s="114" t="b">
        <v>0</v>
      </c>
    </row>
    <row r="609" spans="1:12" ht="15">
      <c r="A609" s="114" t="s">
        <v>1745</v>
      </c>
      <c r="B609" s="114" t="s">
        <v>1765</v>
      </c>
      <c r="C609" s="114">
        <v>2</v>
      </c>
      <c r="D609" s="116">
        <v>0.0005352281502286346</v>
      </c>
      <c r="E609" s="116">
        <v>0.8160996005935136</v>
      </c>
      <c r="F609" s="114" t="s">
        <v>2559</v>
      </c>
      <c r="G609" s="114" t="b">
        <v>0</v>
      </c>
      <c r="H609" s="114" t="b">
        <v>0</v>
      </c>
      <c r="I609" s="114" t="b">
        <v>0</v>
      </c>
      <c r="J609" s="114" t="b">
        <v>0</v>
      </c>
      <c r="K609" s="114" t="b">
        <v>0</v>
      </c>
      <c r="L609" s="114" t="b">
        <v>0</v>
      </c>
    </row>
    <row r="610" spans="1:12" ht="15">
      <c r="A610" s="114" t="s">
        <v>1824</v>
      </c>
      <c r="B610" s="114" t="s">
        <v>1741</v>
      </c>
      <c r="C610" s="114">
        <v>2</v>
      </c>
      <c r="D610" s="116">
        <v>0.0005352281502286346</v>
      </c>
      <c r="E610" s="116">
        <v>0.7223188459756005</v>
      </c>
      <c r="F610" s="114" t="s">
        <v>2559</v>
      </c>
      <c r="G610" s="114" t="b">
        <v>0</v>
      </c>
      <c r="H610" s="114" t="b">
        <v>0</v>
      </c>
      <c r="I610" s="114" t="b">
        <v>0</v>
      </c>
      <c r="J610" s="114" t="b">
        <v>0</v>
      </c>
      <c r="K610" s="114" t="b">
        <v>0</v>
      </c>
      <c r="L610" s="114" t="b">
        <v>0</v>
      </c>
    </row>
    <row r="611" spans="1:12" ht="15">
      <c r="A611" s="114" t="s">
        <v>1939</v>
      </c>
      <c r="B611" s="114" t="s">
        <v>1741</v>
      </c>
      <c r="C611" s="114">
        <v>2</v>
      </c>
      <c r="D611" s="116">
        <v>0.0005352281502286346</v>
      </c>
      <c r="E611" s="116">
        <v>0.9186134911195686</v>
      </c>
      <c r="F611" s="114" t="s">
        <v>2559</v>
      </c>
      <c r="G611" s="114" t="b">
        <v>1</v>
      </c>
      <c r="H611" s="114" t="b">
        <v>0</v>
      </c>
      <c r="I611" s="114" t="b">
        <v>0</v>
      </c>
      <c r="J611" s="114" t="b">
        <v>0</v>
      </c>
      <c r="K611" s="114" t="b">
        <v>0</v>
      </c>
      <c r="L611" s="114" t="b">
        <v>0</v>
      </c>
    </row>
    <row r="612" spans="1:12" ht="15">
      <c r="A612" s="114" t="s">
        <v>1765</v>
      </c>
      <c r="B612" s="114" t="s">
        <v>1739</v>
      </c>
      <c r="C612" s="114">
        <v>2</v>
      </c>
      <c r="D612" s="116">
        <v>0.0005352281502286346</v>
      </c>
      <c r="E612" s="116">
        <v>0.10432841109276932</v>
      </c>
      <c r="F612" s="114" t="s">
        <v>2559</v>
      </c>
      <c r="G612" s="114" t="b">
        <v>0</v>
      </c>
      <c r="H612" s="114" t="b">
        <v>0</v>
      </c>
      <c r="I612" s="114" t="b">
        <v>0</v>
      </c>
      <c r="J612" s="114" t="b">
        <v>0</v>
      </c>
      <c r="K612" s="114" t="b">
        <v>0</v>
      </c>
      <c r="L612" s="114" t="b">
        <v>0</v>
      </c>
    </row>
    <row r="613" spans="1:12" ht="15">
      <c r="A613" s="114" t="s">
        <v>1901</v>
      </c>
      <c r="B613" s="114" t="s">
        <v>2189</v>
      </c>
      <c r="C613" s="114">
        <v>2</v>
      </c>
      <c r="D613" s="116">
        <v>0.0005352281502286346</v>
      </c>
      <c r="E613" s="116">
        <v>2.753951693844669</v>
      </c>
      <c r="F613" s="114" t="s">
        <v>2559</v>
      </c>
      <c r="G613" s="114" t="b">
        <v>0</v>
      </c>
      <c r="H613" s="114" t="b">
        <v>0</v>
      </c>
      <c r="I613" s="114" t="b">
        <v>0</v>
      </c>
      <c r="J613" s="114" t="b">
        <v>0</v>
      </c>
      <c r="K613" s="114" t="b">
        <v>0</v>
      </c>
      <c r="L613" s="114" t="b">
        <v>0</v>
      </c>
    </row>
    <row r="614" spans="1:12" ht="15">
      <c r="A614" s="114" t="s">
        <v>1741</v>
      </c>
      <c r="B614" s="114" t="s">
        <v>1739</v>
      </c>
      <c r="C614" s="114">
        <v>2</v>
      </c>
      <c r="D614" s="116">
        <v>0.0005352281502286346</v>
      </c>
      <c r="E614" s="116">
        <v>-0.946437900140273</v>
      </c>
      <c r="F614" s="114" t="s">
        <v>2559</v>
      </c>
      <c r="G614" s="114" t="b">
        <v>0</v>
      </c>
      <c r="H614" s="114" t="b">
        <v>0</v>
      </c>
      <c r="I614" s="114" t="b">
        <v>0</v>
      </c>
      <c r="J614" s="114" t="b">
        <v>0</v>
      </c>
      <c r="K614" s="114" t="b">
        <v>0</v>
      </c>
      <c r="L614" s="114" t="b">
        <v>0</v>
      </c>
    </row>
    <row r="615" spans="1:12" ht="15">
      <c r="A615" s="114" t="s">
        <v>1742</v>
      </c>
      <c r="B615" s="114" t="s">
        <v>1746</v>
      </c>
      <c r="C615" s="114">
        <v>2</v>
      </c>
      <c r="D615" s="116">
        <v>0.0005352281502286346</v>
      </c>
      <c r="E615" s="116">
        <v>-0.11839885065005408</v>
      </c>
      <c r="F615" s="114" t="s">
        <v>2559</v>
      </c>
      <c r="G615" s="114" t="b">
        <v>0</v>
      </c>
      <c r="H615" s="114" t="b">
        <v>0</v>
      </c>
      <c r="I615" s="114" t="b">
        <v>0</v>
      </c>
      <c r="J615" s="114" t="b">
        <v>0</v>
      </c>
      <c r="K615" s="114" t="b">
        <v>1</v>
      </c>
      <c r="L615" s="114" t="b">
        <v>0</v>
      </c>
    </row>
    <row r="616" spans="1:12" ht="15">
      <c r="A616" s="114" t="s">
        <v>1902</v>
      </c>
      <c r="B616" s="114" t="s">
        <v>1739</v>
      </c>
      <c r="C616" s="114">
        <v>2</v>
      </c>
      <c r="D616" s="116">
        <v>0.0005352281502286346</v>
      </c>
      <c r="E616" s="116">
        <v>0.548025910325482</v>
      </c>
      <c r="F616" s="114" t="s">
        <v>2559</v>
      </c>
      <c r="G616" s="114" t="b">
        <v>0</v>
      </c>
      <c r="H616" s="114" t="b">
        <v>0</v>
      </c>
      <c r="I616" s="114" t="b">
        <v>0</v>
      </c>
      <c r="J616" s="114" t="b">
        <v>0</v>
      </c>
      <c r="K616" s="114" t="b">
        <v>0</v>
      </c>
      <c r="L616" s="114" t="b">
        <v>0</v>
      </c>
    </row>
    <row r="617" spans="1:12" ht="15">
      <c r="A617" s="114" t="s">
        <v>1760</v>
      </c>
      <c r="B617" s="114" t="s">
        <v>2190</v>
      </c>
      <c r="C617" s="114">
        <v>2</v>
      </c>
      <c r="D617" s="116">
        <v>0.0006112074525163633</v>
      </c>
      <c r="E617" s="116">
        <v>2.245796205385038</v>
      </c>
      <c r="F617" s="114" t="s">
        <v>2559</v>
      </c>
      <c r="G617" s="114" t="b">
        <v>0</v>
      </c>
      <c r="H617" s="114" t="b">
        <v>0</v>
      </c>
      <c r="I617" s="114" t="b">
        <v>0</v>
      </c>
      <c r="J617" s="114" t="b">
        <v>0</v>
      </c>
      <c r="K617" s="114" t="b">
        <v>0</v>
      </c>
      <c r="L617" s="114" t="b">
        <v>0</v>
      </c>
    </row>
    <row r="618" spans="1:12" ht="15">
      <c r="A618" s="114" t="s">
        <v>2190</v>
      </c>
      <c r="B618" s="114" t="s">
        <v>1782</v>
      </c>
      <c r="C618" s="114">
        <v>2</v>
      </c>
      <c r="D618" s="116">
        <v>0.0006112074525163633</v>
      </c>
      <c r="E618" s="116">
        <v>2.3859749085500748</v>
      </c>
      <c r="F618" s="114" t="s">
        <v>2559</v>
      </c>
      <c r="G618" s="114" t="b">
        <v>0</v>
      </c>
      <c r="H618" s="114" t="b">
        <v>0</v>
      </c>
      <c r="I618" s="114" t="b">
        <v>0</v>
      </c>
      <c r="J618" s="114" t="b">
        <v>0</v>
      </c>
      <c r="K618" s="114" t="b">
        <v>0</v>
      </c>
      <c r="L618" s="114" t="b">
        <v>0</v>
      </c>
    </row>
    <row r="619" spans="1:12" ht="15">
      <c r="A619" s="114" t="s">
        <v>1740</v>
      </c>
      <c r="B619" s="114" t="s">
        <v>1846</v>
      </c>
      <c r="C619" s="114">
        <v>2</v>
      </c>
      <c r="D619" s="116">
        <v>0.0005352281502286346</v>
      </c>
      <c r="E619" s="116">
        <v>0.6699715649152757</v>
      </c>
      <c r="F619" s="114" t="s">
        <v>2559</v>
      </c>
      <c r="G619" s="114" t="b">
        <v>0</v>
      </c>
      <c r="H619" s="114" t="b">
        <v>0</v>
      </c>
      <c r="I619" s="114" t="b">
        <v>0</v>
      </c>
      <c r="J619" s="114" t="b">
        <v>0</v>
      </c>
      <c r="K619" s="114" t="b">
        <v>0</v>
      </c>
      <c r="L619" s="114" t="b">
        <v>0</v>
      </c>
    </row>
    <row r="620" spans="1:12" ht="15">
      <c r="A620" s="114" t="s">
        <v>1740</v>
      </c>
      <c r="B620" s="114" t="s">
        <v>2037</v>
      </c>
      <c r="C620" s="114">
        <v>2</v>
      </c>
      <c r="D620" s="116">
        <v>0.0005352281502286346</v>
      </c>
      <c r="E620" s="116">
        <v>1.022154083026638</v>
      </c>
      <c r="F620" s="114" t="s">
        <v>2559</v>
      </c>
      <c r="G620" s="114" t="b">
        <v>0</v>
      </c>
      <c r="H620" s="114" t="b">
        <v>0</v>
      </c>
      <c r="I620" s="114" t="b">
        <v>0</v>
      </c>
      <c r="J620" s="114" t="b">
        <v>0</v>
      </c>
      <c r="K620" s="114" t="b">
        <v>0</v>
      </c>
      <c r="L620" s="114" t="b">
        <v>0</v>
      </c>
    </row>
    <row r="621" spans="1:12" ht="15">
      <c r="A621" s="114" t="s">
        <v>2037</v>
      </c>
      <c r="B621" s="114" t="s">
        <v>1740</v>
      </c>
      <c r="C621" s="114">
        <v>2</v>
      </c>
      <c r="D621" s="116">
        <v>0.0005352281502286346</v>
      </c>
      <c r="E621" s="116">
        <v>1.0185894024236046</v>
      </c>
      <c r="F621" s="114" t="s">
        <v>2559</v>
      </c>
      <c r="G621" s="114" t="b">
        <v>0</v>
      </c>
      <c r="H621" s="114" t="b">
        <v>0</v>
      </c>
      <c r="I621" s="114" t="b">
        <v>0</v>
      </c>
      <c r="J621" s="114" t="b">
        <v>0</v>
      </c>
      <c r="K621" s="114" t="b">
        <v>0</v>
      </c>
      <c r="L621" s="114" t="b">
        <v>0</v>
      </c>
    </row>
    <row r="622" spans="1:12" ht="15">
      <c r="A622" s="114" t="s">
        <v>1740</v>
      </c>
      <c r="B622" s="114" t="s">
        <v>2035</v>
      </c>
      <c r="C622" s="114">
        <v>2</v>
      </c>
      <c r="D622" s="116">
        <v>0.0005352281502286346</v>
      </c>
      <c r="E622" s="116">
        <v>1.022154083026638</v>
      </c>
      <c r="F622" s="114" t="s">
        <v>2559</v>
      </c>
      <c r="G622" s="114" t="b">
        <v>0</v>
      </c>
      <c r="H622" s="114" t="b">
        <v>0</v>
      </c>
      <c r="I622" s="114" t="b">
        <v>0</v>
      </c>
      <c r="J622" s="114" t="b">
        <v>0</v>
      </c>
      <c r="K622" s="114" t="b">
        <v>0</v>
      </c>
      <c r="L622" s="114" t="b">
        <v>0</v>
      </c>
    </row>
    <row r="623" spans="1:12" ht="15">
      <c r="A623" s="114" t="s">
        <v>2035</v>
      </c>
      <c r="B623" s="114" t="s">
        <v>1740</v>
      </c>
      <c r="C623" s="114">
        <v>2</v>
      </c>
      <c r="D623" s="116">
        <v>0.0005352281502286346</v>
      </c>
      <c r="E623" s="116">
        <v>1.0185894024236046</v>
      </c>
      <c r="F623" s="114" t="s">
        <v>2559</v>
      </c>
      <c r="G623" s="114" t="b">
        <v>0</v>
      </c>
      <c r="H623" s="114" t="b">
        <v>0</v>
      </c>
      <c r="I623" s="114" t="b">
        <v>0</v>
      </c>
      <c r="J623" s="114" t="b">
        <v>0</v>
      </c>
      <c r="K623" s="114" t="b">
        <v>0</v>
      </c>
      <c r="L623" s="114" t="b">
        <v>0</v>
      </c>
    </row>
    <row r="624" spans="1:12" ht="15">
      <c r="A624" s="114" t="s">
        <v>1743</v>
      </c>
      <c r="B624" s="114" t="s">
        <v>1771</v>
      </c>
      <c r="C624" s="114">
        <v>2</v>
      </c>
      <c r="D624" s="116">
        <v>0.0005352281502286346</v>
      </c>
      <c r="E624" s="116">
        <v>0.45292169818068806</v>
      </c>
      <c r="F624" s="114" t="s">
        <v>2559</v>
      </c>
      <c r="G624" s="114" t="b">
        <v>0</v>
      </c>
      <c r="H624" s="114" t="b">
        <v>0</v>
      </c>
      <c r="I624" s="114" t="b">
        <v>0</v>
      </c>
      <c r="J624" s="114" t="b">
        <v>0</v>
      </c>
      <c r="K624" s="114" t="b">
        <v>1</v>
      </c>
      <c r="L624" s="114" t="b">
        <v>0</v>
      </c>
    </row>
    <row r="625" spans="1:12" ht="15">
      <c r="A625" s="114" t="s">
        <v>1739</v>
      </c>
      <c r="B625" s="114" t="s">
        <v>1800</v>
      </c>
      <c r="C625" s="114">
        <v>2</v>
      </c>
      <c r="D625" s="116">
        <v>0.0005352281502286346</v>
      </c>
      <c r="E625" s="116">
        <v>0.2602613376918138</v>
      </c>
      <c r="F625" s="114" t="s">
        <v>2559</v>
      </c>
      <c r="G625" s="114" t="b">
        <v>0</v>
      </c>
      <c r="H625" s="114" t="b">
        <v>0</v>
      </c>
      <c r="I625" s="114" t="b">
        <v>0</v>
      </c>
      <c r="J625" s="114" t="b">
        <v>0</v>
      </c>
      <c r="K625" s="114" t="b">
        <v>0</v>
      </c>
      <c r="L625" s="114" t="b">
        <v>0</v>
      </c>
    </row>
    <row r="626" spans="1:12" ht="15">
      <c r="A626" s="114" t="s">
        <v>1776</v>
      </c>
      <c r="B626" s="114" t="s">
        <v>1887</v>
      </c>
      <c r="C626" s="114">
        <v>2</v>
      </c>
      <c r="D626" s="116">
        <v>0.0005352281502286346</v>
      </c>
      <c r="E626" s="116">
        <v>1.8693451125467386</v>
      </c>
      <c r="F626" s="114" t="s">
        <v>2559</v>
      </c>
      <c r="G626" s="114" t="b">
        <v>0</v>
      </c>
      <c r="H626" s="114" t="b">
        <v>0</v>
      </c>
      <c r="I626" s="114" t="b">
        <v>0</v>
      </c>
      <c r="J626" s="114" t="b">
        <v>0</v>
      </c>
      <c r="K626" s="114" t="b">
        <v>0</v>
      </c>
      <c r="L626" s="114" t="b">
        <v>0</v>
      </c>
    </row>
    <row r="627" spans="1:12" ht="15">
      <c r="A627" s="114" t="s">
        <v>1864</v>
      </c>
      <c r="B627" s="114" t="s">
        <v>1776</v>
      </c>
      <c r="C627" s="114">
        <v>2</v>
      </c>
      <c r="D627" s="116">
        <v>0.0005352281502286346</v>
      </c>
      <c r="E627" s="116">
        <v>2.1246176176500446</v>
      </c>
      <c r="F627" s="114" t="s">
        <v>2559</v>
      </c>
      <c r="G627" s="114" t="b">
        <v>0</v>
      </c>
      <c r="H627" s="114" t="b">
        <v>0</v>
      </c>
      <c r="I627" s="114" t="b">
        <v>0</v>
      </c>
      <c r="J627" s="114" t="b">
        <v>0</v>
      </c>
      <c r="K627" s="114" t="b">
        <v>0</v>
      </c>
      <c r="L627" s="114" t="b">
        <v>0</v>
      </c>
    </row>
    <row r="628" spans="1:12" ht="15">
      <c r="A628" s="114" t="s">
        <v>1897</v>
      </c>
      <c r="B628" s="114" t="s">
        <v>1792</v>
      </c>
      <c r="C628" s="114">
        <v>2</v>
      </c>
      <c r="D628" s="116">
        <v>0.0005352281502286346</v>
      </c>
      <c r="E628" s="116">
        <v>2.0614638170365707</v>
      </c>
      <c r="F628" s="114" t="s">
        <v>2559</v>
      </c>
      <c r="G628" s="114" t="b">
        <v>0</v>
      </c>
      <c r="H628" s="114" t="b">
        <v>0</v>
      </c>
      <c r="I628" s="114" t="b">
        <v>0</v>
      </c>
      <c r="J628" s="114" t="b">
        <v>0</v>
      </c>
      <c r="K628" s="114" t="b">
        <v>0</v>
      </c>
      <c r="L628" s="114" t="b">
        <v>0</v>
      </c>
    </row>
    <row r="629" spans="1:12" ht="15">
      <c r="A629" s="114" t="s">
        <v>1853</v>
      </c>
      <c r="B629" s="114" t="s">
        <v>2357</v>
      </c>
      <c r="C629" s="114">
        <v>2</v>
      </c>
      <c r="D629" s="116">
        <v>0.0005352281502286346</v>
      </c>
      <c r="E629" s="116">
        <v>2.8428927771814503</v>
      </c>
      <c r="F629" s="114" t="s">
        <v>2559</v>
      </c>
      <c r="G629" s="114" t="b">
        <v>0</v>
      </c>
      <c r="H629" s="114" t="b">
        <v>0</v>
      </c>
      <c r="I629" s="114" t="b">
        <v>0</v>
      </c>
      <c r="J629" s="114" t="b">
        <v>0</v>
      </c>
      <c r="K629" s="114" t="b">
        <v>0</v>
      </c>
      <c r="L629" s="114" t="b">
        <v>0</v>
      </c>
    </row>
    <row r="630" spans="1:12" ht="15">
      <c r="A630" s="114" t="s">
        <v>2357</v>
      </c>
      <c r="B630" s="114" t="s">
        <v>1843</v>
      </c>
      <c r="C630" s="114">
        <v>2</v>
      </c>
      <c r="D630" s="116">
        <v>0.0005352281502286346</v>
      </c>
      <c r="E630" s="116">
        <v>2.8051042162920505</v>
      </c>
      <c r="F630" s="114" t="s">
        <v>2559</v>
      </c>
      <c r="G630" s="114" t="b">
        <v>0</v>
      </c>
      <c r="H630" s="114" t="b">
        <v>0</v>
      </c>
      <c r="I630" s="114" t="b">
        <v>0</v>
      </c>
      <c r="J630" s="114" t="b">
        <v>0</v>
      </c>
      <c r="K630" s="114" t="b">
        <v>0</v>
      </c>
      <c r="L630" s="114" t="b">
        <v>0</v>
      </c>
    </row>
    <row r="631" spans="1:12" ht="15">
      <c r="A631" s="114" t="s">
        <v>1843</v>
      </c>
      <c r="B631" s="114" t="s">
        <v>2358</v>
      </c>
      <c r="C631" s="114">
        <v>2</v>
      </c>
      <c r="D631" s="116">
        <v>0.0005352281502286346</v>
      </c>
      <c r="E631" s="116">
        <v>2.8051042162920505</v>
      </c>
      <c r="F631" s="114" t="s">
        <v>2559</v>
      </c>
      <c r="G631" s="114" t="b">
        <v>0</v>
      </c>
      <c r="H631" s="114" t="b">
        <v>0</v>
      </c>
      <c r="I631" s="114" t="b">
        <v>0</v>
      </c>
      <c r="J631" s="114" t="b">
        <v>0</v>
      </c>
      <c r="K631" s="114" t="b">
        <v>0</v>
      </c>
      <c r="L631" s="114" t="b">
        <v>0</v>
      </c>
    </row>
    <row r="632" spans="1:12" ht="15">
      <c r="A632" s="114" t="s">
        <v>2358</v>
      </c>
      <c r="B632" s="114" t="s">
        <v>2359</v>
      </c>
      <c r="C632" s="114">
        <v>2</v>
      </c>
      <c r="D632" s="116">
        <v>0.0005352281502286346</v>
      </c>
      <c r="E632" s="116">
        <v>3.583255466675694</v>
      </c>
      <c r="F632" s="114" t="s">
        <v>2559</v>
      </c>
      <c r="G632" s="114" t="b">
        <v>0</v>
      </c>
      <c r="H632" s="114" t="b">
        <v>0</v>
      </c>
      <c r="I632" s="114" t="b">
        <v>0</v>
      </c>
      <c r="J632" s="114" t="b">
        <v>0</v>
      </c>
      <c r="K632" s="114" t="b">
        <v>0</v>
      </c>
      <c r="L632" s="114" t="b">
        <v>0</v>
      </c>
    </row>
    <row r="633" spans="1:12" ht="15">
      <c r="A633" s="114" t="s">
        <v>2359</v>
      </c>
      <c r="B633" s="114" t="s">
        <v>2006</v>
      </c>
      <c r="C633" s="114">
        <v>2</v>
      </c>
      <c r="D633" s="116">
        <v>0.0005352281502286346</v>
      </c>
      <c r="E633" s="116">
        <v>3.1853154580036565</v>
      </c>
      <c r="F633" s="114" t="s">
        <v>2559</v>
      </c>
      <c r="G633" s="114" t="b">
        <v>0</v>
      </c>
      <c r="H633" s="114" t="b">
        <v>0</v>
      </c>
      <c r="I633" s="114" t="b">
        <v>0</v>
      </c>
      <c r="J633" s="114" t="b">
        <v>0</v>
      </c>
      <c r="K633" s="114" t="b">
        <v>0</v>
      </c>
      <c r="L633" s="114" t="b">
        <v>0</v>
      </c>
    </row>
    <row r="634" spans="1:12" ht="15">
      <c r="A634" s="114" t="s">
        <v>2006</v>
      </c>
      <c r="B634" s="114" t="s">
        <v>1774</v>
      </c>
      <c r="C634" s="114">
        <v>2</v>
      </c>
      <c r="D634" s="116">
        <v>0.0005352281502286346</v>
      </c>
      <c r="E634" s="116">
        <v>2.1246176176500446</v>
      </c>
      <c r="F634" s="114" t="s">
        <v>2559</v>
      </c>
      <c r="G634" s="114" t="b">
        <v>0</v>
      </c>
      <c r="H634" s="114" t="b">
        <v>0</v>
      </c>
      <c r="I634" s="114" t="b">
        <v>0</v>
      </c>
      <c r="J634" s="114" t="b">
        <v>0</v>
      </c>
      <c r="K634" s="114" t="b">
        <v>1</v>
      </c>
      <c r="L634" s="114" t="b">
        <v>0</v>
      </c>
    </row>
    <row r="635" spans="1:12" ht="15">
      <c r="A635" s="114" t="s">
        <v>1774</v>
      </c>
      <c r="B635" s="114" t="s">
        <v>1843</v>
      </c>
      <c r="C635" s="114">
        <v>2</v>
      </c>
      <c r="D635" s="116">
        <v>0.0005352281502286346</v>
      </c>
      <c r="E635" s="116">
        <v>1.8508617068527256</v>
      </c>
      <c r="F635" s="114" t="s">
        <v>2559</v>
      </c>
      <c r="G635" s="114" t="b">
        <v>0</v>
      </c>
      <c r="H635" s="114" t="b">
        <v>1</v>
      </c>
      <c r="I635" s="114" t="b">
        <v>0</v>
      </c>
      <c r="J635" s="114" t="b">
        <v>0</v>
      </c>
      <c r="K635" s="114" t="b">
        <v>0</v>
      </c>
      <c r="L635" s="114" t="b">
        <v>0</v>
      </c>
    </row>
    <row r="636" spans="1:12" ht="15">
      <c r="A636" s="114" t="s">
        <v>1843</v>
      </c>
      <c r="B636" s="114" t="s">
        <v>1895</v>
      </c>
      <c r="C636" s="114">
        <v>2</v>
      </c>
      <c r="D636" s="116">
        <v>0.0005352281502286346</v>
      </c>
      <c r="E636" s="116">
        <v>2.1518917025167066</v>
      </c>
      <c r="F636" s="114" t="s">
        <v>2559</v>
      </c>
      <c r="G636" s="114" t="b">
        <v>0</v>
      </c>
      <c r="H636" s="114" t="b">
        <v>0</v>
      </c>
      <c r="I636" s="114" t="b">
        <v>0</v>
      </c>
      <c r="J636" s="114" t="b">
        <v>0</v>
      </c>
      <c r="K636" s="114" t="b">
        <v>0</v>
      </c>
      <c r="L636" s="114" t="b">
        <v>0</v>
      </c>
    </row>
    <row r="637" spans="1:12" ht="15">
      <c r="A637" s="114" t="s">
        <v>1774</v>
      </c>
      <c r="B637" s="114" t="s">
        <v>2360</v>
      </c>
      <c r="C637" s="114">
        <v>2</v>
      </c>
      <c r="D637" s="116">
        <v>0.0005352281502286346</v>
      </c>
      <c r="E637" s="116">
        <v>2.629012957236369</v>
      </c>
      <c r="F637" s="114" t="s">
        <v>2559</v>
      </c>
      <c r="G637" s="114" t="b">
        <v>0</v>
      </c>
      <c r="H637" s="114" t="b">
        <v>1</v>
      </c>
      <c r="I637" s="114" t="b">
        <v>0</v>
      </c>
      <c r="J637" s="114" t="b">
        <v>0</v>
      </c>
      <c r="K637" s="114" t="b">
        <v>0</v>
      </c>
      <c r="L637" s="114" t="b">
        <v>0</v>
      </c>
    </row>
    <row r="638" spans="1:12" ht="15">
      <c r="A638" s="114" t="s">
        <v>2360</v>
      </c>
      <c r="B638" s="114" t="s">
        <v>1859</v>
      </c>
      <c r="C638" s="114">
        <v>2</v>
      </c>
      <c r="D638" s="116">
        <v>0.0005352281502286346</v>
      </c>
      <c r="E638" s="116">
        <v>2.8428927771814503</v>
      </c>
      <c r="F638" s="114" t="s">
        <v>2559</v>
      </c>
      <c r="G638" s="114" t="b">
        <v>0</v>
      </c>
      <c r="H638" s="114" t="b">
        <v>0</v>
      </c>
      <c r="I638" s="114" t="b">
        <v>0</v>
      </c>
      <c r="J638" s="114" t="b">
        <v>0</v>
      </c>
      <c r="K638" s="114" t="b">
        <v>0</v>
      </c>
      <c r="L638" s="114" t="b">
        <v>0</v>
      </c>
    </row>
    <row r="639" spans="1:12" ht="15">
      <c r="A639" s="114" t="s">
        <v>1859</v>
      </c>
      <c r="B639" s="114" t="s">
        <v>1829</v>
      </c>
      <c r="C639" s="114">
        <v>2</v>
      </c>
      <c r="D639" s="116">
        <v>0.0005352281502286346</v>
      </c>
      <c r="E639" s="116">
        <v>2.0299794205385946</v>
      </c>
      <c r="F639" s="114" t="s">
        <v>2559</v>
      </c>
      <c r="G639" s="114" t="b">
        <v>0</v>
      </c>
      <c r="H639" s="114" t="b">
        <v>0</v>
      </c>
      <c r="I639" s="114" t="b">
        <v>0</v>
      </c>
      <c r="J639" s="114" t="b">
        <v>0</v>
      </c>
      <c r="K639" s="114" t="b">
        <v>0</v>
      </c>
      <c r="L639" s="114" t="b">
        <v>0</v>
      </c>
    </row>
    <row r="640" spans="1:12" ht="15">
      <c r="A640" s="114" t="s">
        <v>1829</v>
      </c>
      <c r="B640" s="114" t="s">
        <v>1829</v>
      </c>
      <c r="C640" s="114">
        <v>2</v>
      </c>
      <c r="D640" s="116">
        <v>0.0005352281502286346</v>
      </c>
      <c r="E640" s="116">
        <v>1.957428753389983</v>
      </c>
      <c r="F640" s="114" t="s">
        <v>2559</v>
      </c>
      <c r="G640" s="114" t="b">
        <v>0</v>
      </c>
      <c r="H640" s="114" t="b">
        <v>0</v>
      </c>
      <c r="I640" s="114" t="b">
        <v>0</v>
      </c>
      <c r="J640" s="114" t="b">
        <v>0</v>
      </c>
      <c r="K640" s="114" t="b">
        <v>0</v>
      </c>
      <c r="L640" s="114" t="b">
        <v>0</v>
      </c>
    </row>
    <row r="641" spans="1:12" ht="15">
      <c r="A641" s="114" t="s">
        <v>1859</v>
      </c>
      <c r="B641" s="114" t="s">
        <v>1819</v>
      </c>
      <c r="C641" s="114">
        <v>2</v>
      </c>
      <c r="D641" s="116">
        <v>0.0005352281502286346</v>
      </c>
      <c r="E641" s="116">
        <v>1.9977947371671934</v>
      </c>
      <c r="F641" s="114" t="s">
        <v>2559</v>
      </c>
      <c r="G641" s="114" t="b">
        <v>0</v>
      </c>
      <c r="H641" s="114" t="b">
        <v>0</v>
      </c>
      <c r="I641" s="114" t="b">
        <v>0</v>
      </c>
      <c r="J641" s="114" t="b">
        <v>0</v>
      </c>
      <c r="K641" s="114" t="b">
        <v>0</v>
      </c>
      <c r="L641" s="114" t="b">
        <v>0</v>
      </c>
    </row>
    <row r="642" spans="1:12" ht="15">
      <c r="A642" s="114" t="s">
        <v>1819</v>
      </c>
      <c r="B642" s="114" t="s">
        <v>1853</v>
      </c>
      <c r="C642" s="114">
        <v>2</v>
      </c>
      <c r="D642" s="116">
        <v>0.0005352281502286346</v>
      </c>
      <c r="E642" s="116">
        <v>2.0849449128860935</v>
      </c>
      <c r="F642" s="114" t="s">
        <v>2559</v>
      </c>
      <c r="G642" s="114" t="b">
        <v>0</v>
      </c>
      <c r="H642" s="114" t="b">
        <v>0</v>
      </c>
      <c r="I642" s="114" t="b">
        <v>0</v>
      </c>
      <c r="J642" s="114" t="b">
        <v>0</v>
      </c>
      <c r="K642" s="114" t="b">
        <v>0</v>
      </c>
      <c r="L642" s="114" t="b">
        <v>0</v>
      </c>
    </row>
    <row r="643" spans="1:12" ht="15">
      <c r="A643" s="114" t="s">
        <v>1829</v>
      </c>
      <c r="B643" s="114" t="s">
        <v>1740</v>
      </c>
      <c r="C643" s="114">
        <v>2</v>
      </c>
      <c r="D643" s="116">
        <v>0.0005352281502286346</v>
      </c>
      <c r="E643" s="116">
        <v>0.5067060414447303</v>
      </c>
      <c r="F643" s="114" t="s">
        <v>2559</v>
      </c>
      <c r="G643" s="114" t="b">
        <v>0</v>
      </c>
      <c r="H643" s="114" t="b">
        <v>0</v>
      </c>
      <c r="I643" s="114" t="b">
        <v>0</v>
      </c>
      <c r="J643" s="114" t="b">
        <v>0</v>
      </c>
      <c r="K643" s="114" t="b">
        <v>0</v>
      </c>
      <c r="L643" s="114" t="b">
        <v>0</v>
      </c>
    </row>
    <row r="644" spans="1:12" ht="15">
      <c r="A644" s="114" t="s">
        <v>1755</v>
      </c>
      <c r="B644" s="114" t="s">
        <v>1853</v>
      </c>
      <c r="C644" s="114">
        <v>2</v>
      </c>
      <c r="D644" s="116">
        <v>0.0005352281502286346</v>
      </c>
      <c r="E644" s="116">
        <v>1.6512893519475214</v>
      </c>
      <c r="F644" s="114" t="s">
        <v>2559</v>
      </c>
      <c r="G644" s="114" t="b">
        <v>0</v>
      </c>
      <c r="H644" s="114" t="b">
        <v>0</v>
      </c>
      <c r="I644" s="114" t="b">
        <v>0</v>
      </c>
      <c r="J644" s="114" t="b">
        <v>0</v>
      </c>
      <c r="K644" s="114" t="b">
        <v>0</v>
      </c>
      <c r="L644" s="114" t="b">
        <v>0</v>
      </c>
    </row>
    <row r="645" spans="1:12" ht="15">
      <c r="A645" s="114" t="s">
        <v>1853</v>
      </c>
      <c r="B645" s="114" t="s">
        <v>1745</v>
      </c>
      <c r="C645" s="114">
        <v>2</v>
      </c>
      <c r="D645" s="116">
        <v>0.0005352281502286346</v>
      </c>
      <c r="E645" s="116">
        <v>1.1896802634061066</v>
      </c>
      <c r="F645" s="114" t="s">
        <v>2559</v>
      </c>
      <c r="G645" s="114" t="b">
        <v>0</v>
      </c>
      <c r="H645" s="114" t="b">
        <v>0</v>
      </c>
      <c r="I645" s="114" t="b">
        <v>0</v>
      </c>
      <c r="J645" s="114" t="b">
        <v>0</v>
      </c>
      <c r="K645" s="114" t="b">
        <v>0</v>
      </c>
      <c r="L645" s="114" t="b">
        <v>0</v>
      </c>
    </row>
    <row r="646" spans="1:12" ht="15">
      <c r="A646" s="114" t="s">
        <v>1745</v>
      </c>
      <c r="B646" s="114" t="s">
        <v>1829</v>
      </c>
      <c r="C646" s="114">
        <v>2</v>
      </c>
      <c r="D646" s="116">
        <v>0.0005352281502286346</v>
      </c>
      <c r="E646" s="116">
        <v>1.1171295962574948</v>
      </c>
      <c r="F646" s="114" t="s">
        <v>2559</v>
      </c>
      <c r="G646" s="114" t="b">
        <v>0</v>
      </c>
      <c r="H646" s="114" t="b">
        <v>0</v>
      </c>
      <c r="I646" s="114" t="b">
        <v>0</v>
      </c>
      <c r="J646" s="114" t="b">
        <v>0</v>
      </c>
      <c r="K646" s="114" t="b">
        <v>0</v>
      </c>
      <c r="L646" s="114" t="b">
        <v>0</v>
      </c>
    </row>
    <row r="647" spans="1:12" ht="15">
      <c r="A647" s="114" t="s">
        <v>1859</v>
      </c>
      <c r="B647" s="114" t="s">
        <v>1745</v>
      </c>
      <c r="C647" s="114">
        <v>2</v>
      </c>
      <c r="D647" s="116">
        <v>0.0005352281502286346</v>
      </c>
      <c r="E647" s="116">
        <v>1.1896802634061066</v>
      </c>
      <c r="F647" s="114" t="s">
        <v>2559</v>
      </c>
      <c r="G647" s="114" t="b">
        <v>0</v>
      </c>
      <c r="H647" s="114" t="b">
        <v>0</v>
      </c>
      <c r="I647" s="114" t="b">
        <v>0</v>
      </c>
      <c r="J647" s="114" t="b">
        <v>0</v>
      </c>
      <c r="K647" s="114" t="b">
        <v>0</v>
      </c>
      <c r="L647" s="114" t="b">
        <v>0</v>
      </c>
    </row>
    <row r="648" spans="1:12" ht="15">
      <c r="A648" s="114" t="s">
        <v>2007</v>
      </c>
      <c r="B648" s="114" t="s">
        <v>2192</v>
      </c>
      <c r="C648" s="114">
        <v>2</v>
      </c>
      <c r="D648" s="116">
        <v>0.0005352281502286346</v>
      </c>
      <c r="E648" s="116">
        <v>3.009224198947975</v>
      </c>
      <c r="F648" s="114" t="s">
        <v>2559</v>
      </c>
      <c r="G648" s="114" t="b">
        <v>0</v>
      </c>
      <c r="H648" s="114" t="b">
        <v>1</v>
      </c>
      <c r="I648" s="114" t="b">
        <v>0</v>
      </c>
      <c r="J648" s="114" t="b">
        <v>0</v>
      </c>
      <c r="K648" s="114" t="b">
        <v>1</v>
      </c>
      <c r="L648" s="114" t="b">
        <v>0</v>
      </c>
    </row>
    <row r="649" spans="1:12" ht="15">
      <c r="A649" s="114" t="s">
        <v>2075</v>
      </c>
      <c r="B649" s="114" t="s">
        <v>1776</v>
      </c>
      <c r="C649" s="114">
        <v>2</v>
      </c>
      <c r="D649" s="116">
        <v>0.0005352281502286346</v>
      </c>
      <c r="E649" s="116">
        <v>2.2215276306581013</v>
      </c>
      <c r="F649" s="114" t="s">
        <v>2559</v>
      </c>
      <c r="G649" s="114" t="b">
        <v>1</v>
      </c>
      <c r="H649" s="114" t="b">
        <v>0</v>
      </c>
      <c r="I649" s="114" t="b">
        <v>0</v>
      </c>
      <c r="J649" s="114" t="b">
        <v>0</v>
      </c>
      <c r="K649" s="114" t="b">
        <v>0</v>
      </c>
      <c r="L649" s="114" t="b">
        <v>0</v>
      </c>
    </row>
    <row r="650" spans="1:12" ht="15">
      <c r="A650" s="114" t="s">
        <v>1776</v>
      </c>
      <c r="B650" s="114" t="s">
        <v>2363</v>
      </c>
      <c r="C650" s="114">
        <v>2</v>
      </c>
      <c r="D650" s="116">
        <v>0.0005352281502286346</v>
      </c>
      <c r="E650" s="116">
        <v>2.5225576263220826</v>
      </c>
      <c r="F650" s="114" t="s">
        <v>2559</v>
      </c>
      <c r="G650" s="114" t="b">
        <v>0</v>
      </c>
      <c r="H650" s="114" t="b">
        <v>0</v>
      </c>
      <c r="I650" s="114" t="b">
        <v>0</v>
      </c>
      <c r="J650" s="114" t="b">
        <v>0</v>
      </c>
      <c r="K650" s="114" t="b">
        <v>0</v>
      </c>
      <c r="L650" s="114" t="b">
        <v>0</v>
      </c>
    </row>
    <row r="651" spans="1:12" ht="15">
      <c r="A651" s="114" t="s">
        <v>2363</v>
      </c>
      <c r="B651" s="114" t="s">
        <v>1911</v>
      </c>
      <c r="C651" s="114">
        <v>2</v>
      </c>
      <c r="D651" s="116">
        <v>0.0005352281502286346</v>
      </c>
      <c r="E651" s="116">
        <v>2.9811954753477314</v>
      </c>
      <c r="F651" s="114" t="s">
        <v>2559</v>
      </c>
      <c r="G651" s="114" t="b">
        <v>0</v>
      </c>
      <c r="H651" s="114" t="b">
        <v>0</v>
      </c>
      <c r="I651" s="114" t="b">
        <v>0</v>
      </c>
      <c r="J651" s="114" t="b">
        <v>0</v>
      </c>
      <c r="K651" s="114" t="b">
        <v>0</v>
      </c>
      <c r="L651" s="114" t="b">
        <v>0</v>
      </c>
    </row>
    <row r="652" spans="1:12" ht="15">
      <c r="A652" s="114" t="s">
        <v>1911</v>
      </c>
      <c r="B652" s="114" t="s">
        <v>1922</v>
      </c>
      <c r="C652" s="114">
        <v>2</v>
      </c>
      <c r="D652" s="116">
        <v>0.0005352281502286346</v>
      </c>
      <c r="E652" s="116">
        <v>2.641247413653381</v>
      </c>
      <c r="F652" s="114" t="s">
        <v>2559</v>
      </c>
      <c r="G652" s="114" t="b">
        <v>0</v>
      </c>
      <c r="H652" s="114" t="b">
        <v>0</v>
      </c>
      <c r="I652" s="114" t="b">
        <v>0</v>
      </c>
      <c r="J652" s="114" t="b">
        <v>0</v>
      </c>
      <c r="K652" s="114" t="b">
        <v>0</v>
      </c>
      <c r="L652" s="114" t="b">
        <v>0</v>
      </c>
    </row>
    <row r="653" spans="1:12" ht="15">
      <c r="A653" s="114" t="s">
        <v>2009</v>
      </c>
      <c r="B653" s="114" t="s">
        <v>1785</v>
      </c>
      <c r="C653" s="114">
        <v>2</v>
      </c>
      <c r="D653" s="116">
        <v>0.0005352281502286346</v>
      </c>
      <c r="E653" s="116">
        <v>2.261036171941775</v>
      </c>
      <c r="F653" s="114" t="s">
        <v>2559</v>
      </c>
      <c r="G653" s="114" t="b">
        <v>0</v>
      </c>
      <c r="H653" s="114" t="b">
        <v>1</v>
      </c>
      <c r="I653" s="114" t="b">
        <v>0</v>
      </c>
      <c r="J653" s="114" t="b">
        <v>0</v>
      </c>
      <c r="K653" s="114" t="b">
        <v>0</v>
      </c>
      <c r="L653" s="114" t="b">
        <v>0</v>
      </c>
    </row>
    <row r="654" spans="1:12" ht="15">
      <c r="A654" s="114" t="s">
        <v>2003</v>
      </c>
      <c r="B654" s="114" t="s">
        <v>1785</v>
      </c>
      <c r="C654" s="114">
        <v>2</v>
      </c>
      <c r="D654" s="116">
        <v>0.0005352281502286346</v>
      </c>
      <c r="E654" s="116">
        <v>2.1641261589337186</v>
      </c>
      <c r="F654" s="114" t="s">
        <v>2559</v>
      </c>
      <c r="G654" s="114" t="b">
        <v>0</v>
      </c>
      <c r="H654" s="114" t="b">
        <v>0</v>
      </c>
      <c r="I654" s="114" t="b">
        <v>0</v>
      </c>
      <c r="J654" s="114" t="b">
        <v>0</v>
      </c>
      <c r="K654" s="114" t="b">
        <v>0</v>
      </c>
      <c r="L654" s="114" t="b">
        <v>0</v>
      </c>
    </row>
    <row r="655" spans="1:12" ht="15">
      <c r="A655" s="114" t="s">
        <v>1789</v>
      </c>
      <c r="B655" s="114" t="s">
        <v>2364</v>
      </c>
      <c r="C655" s="114">
        <v>2</v>
      </c>
      <c r="D655" s="116">
        <v>0.0005352281502286346</v>
      </c>
      <c r="E655" s="116">
        <v>2.583255466675694</v>
      </c>
      <c r="F655" s="114" t="s">
        <v>2559</v>
      </c>
      <c r="G655" s="114" t="b">
        <v>0</v>
      </c>
      <c r="H655" s="114" t="b">
        <v>0</v>
      </c>
      <c r="I655" s="114" t="b">
        <v>0</v>
      </c>
      <c r="J655" s="114" t="b">
        <v>0</v>
      </c>
      <c r="K655" s="114" t="b">
        <v>0</v>
      </c>
      <c r="L655" s="114" t="b">
        <v>0</v>
      </c>
    </row>
    <row r="656" spans="1:12" ht="15">
      <c r="A656" s="114" t="s">
        <v>2364</v>
      </c>
      <c r="B656" s="114" t="s">
        <v>1785</v>
      </c>
      <c r="C656" s="114">
        <v>2</v>
      </c>
      <c r="D656" s="116">
        <v>0.0005352281502286346</v>
      </c>
      <c r="E656" s="116">
        <v>2.562066167605756</v>
      </c>
      <c r="F656" s="114" t="s">
        <v>2559</v>
      </c>
      <c r="G656" s="114" t="b">
        <v>0</v>
      </c>
      <c r="H656" s="114" t="b">
        <v>0</v>
      </c>
      <c r="I656" s="114" t="b">
        <v>0</v>
      </c>
      <c r="J656" s="114" t="b">
        <v>0</v>
      </c>
      <c r="K656" s="114" t="b">
        <v>0</v>
      </c>
      <c r="L656" s="114" t="b">
        <v>0</v>
      </c>
    </row>
    <row r="657" spans="1:12" ht="15">
      <c r="A657" s="114" t="s">
        <v>1789</v>
      </c>
      <c r="B657" s="114" t="s">
        <v>1795</v>
      </c>
      <c r="C657" s="114">
        <v>2</v>
      </c>
      <c r="D657" s="116">
        <v>0.0005352281502286346</v>
      </c>
      <c r="E657" s="116">
        <v>1.6290129572363692</v>
      </c>
      <c r="F657" s="114" t="s">
        <v>2559</v>
      </c>
      <c r="G657" s="114" t="b">
        <v>0</v>
      </c>
      <c r="H657" s="114" t="b">
        <v>0</v>
      </c>
      <c r="I657" s="114" t="b">
        <v>0</v>
      </c>
      <c r="J657" s="114" t="b">
        <v>0</v>
      </c>
      <c r="K657" s="114" t="b">
        <v>1</v>
      </c>
      <c r="L657" s="114" t="b">
        <v>0</v>
      </c>
    </row>
    <row r="658" spans="1:12" ht="15">
      <c r="A658" s="114" t="s">
        <v>1795</v>
      </c>
      <c r="B658" s="114" t="s">
        <v>1785</v>
      </c>
      <c r="C658" s="114">
        <v>2</v>
      </c>
      <c r="D658" s="116">
        <v>0.0005352281502286346</v>
      </c>
      <c r="E658" s="116">
        <v>1.6078236581664311</v>
      </c>
      <c r="F658" s="114" t="s">
        <v>2559</v>
      </c>
      <c r="G658" s="114" t="b">
        <v>0</v>
      </c>
      <c r="H658" s="114" t="b">
        <v>1</v>
      </c>
      <c r="I658" s="114" t="b">
        <v>0</v>
      </c>
      <c r="J658" s="114" t="b">
        <v>0</v>
      </c>
      <c r="K658" s="114" t="b">
        <v>0</v>
      </c>
      <c r="L658" s="114" t="b">
        <v>0</v>
      </c>
    </row>
    <row r="659" spans="1:12" ht="15">
      <c r="A659" s="114" t="s">
        <v>1789</v>
      </c>
      <c r="B659" s="114" t="s">
        <v>2365</v>
      </c>
      <c r="C659" s="114">
        <v>2</v>
      </c>
      <c r="D659" s="116">
        <v>0.0005352281502286346</v>
      </c>
      <c r="E659" s="116">
        <v>2.583255466675694</v>
      </c>
      <c r="F659" s="114" t="s">
        <v>2559</v>
      </c>
      <c r="G659" s="114" t="b">
        <v>0</v>
      </c>
      <c r="H659" s="114" t="b">
        <v>0</v>
      </c>
      <c r="I659" s="114" t="b">
        <v>0</v>
      </c>
      <c r="J659" s="114" t="b">
        <v>0</v>
      </c>
      <c r="K659" s="114" t="b">
        <v>1</v>
      </c>
      <c r="L659" s="114" t="b">
        <v>0</v>
      </c>
    </row>
    <row r="660" spans="1:12" ht="15">
      <c r="A660" s="114" t="s">
        <v>2365</v>
      </c>
      <c r="B660" s="114" t="s">
        <v>1785</v>
      </c>
      <c r="C660" s="114">
        <v>2</v>
      </c>
      <c r="D660" s="116">
        <v>0.0005352281502286346</v>
      </c>
      <c r="E660" s="116">
        <v>2.562066167605756</v>
      </c>
      <c r="F660" s="114" t="s">
        <v>2559</v>
      </c>
      <c r="G660" s="114" t="b">
        <v>0</v>
      </c>
      <c r="H660" s="114" t="b">
        <v>1</v>
      </c>
      <c r="I660" s="114" t="b">
        <v>0</v>
      </c>
      <c r="J660" s="114" t="b">
        <v>0</v>
      </c>
      <c r="K660" s="114" t="b">
        <v>0</v>
      </c>
      <c r="L660" s="114" t="b">
        <v>0</v>
      </c>
    </row>
    <row r="661" spans="1:12" ht="15">
      <c r="A661" s="114" t="s">
        <v>1789</v>
      </c>
      <c r="B661" s="114" t="s">
        <v>2009</v>
      </c>
      <c r="C661" s="114">
        <v>2</v>
      </c>
      <c r="D661" s="116">
        <v>0.0005352281502286346</v>
      </c>
      <c r="E661" s="116">
        <v>2.1853154580036565</v>
      </c>
      <c r="F661" s="114" t="s">
        <v>2559</v>
      </c>
      <c r="G661" s="114" t="b">
        <v>0</v>
      </c>
      <c r="H661" s="114" t="b">
        <v>0</v>
      </c>
      <c r="I661" s="114" t="b">
        <v>0</v>
      </c>
      <c r="J661" s="114" t="b">
        <v>0</v>
      </c>
      <c r="K661" s="114" t="b">
        <v>1</v>
      </c>
      <c r="L661" s="114" t="b">
        <v>0</v>
      </c>
    </row>
    <row r="662" spans="1:12" ht="15">
      <c r="A662" s="114" t="s">
        <v>1758</v>
      </c>
      <c r="B662" s="114" t="s">
        <v>2366</v>
      </c>
      <c r="C662" s="114">
        <v>2</v>
      </c>
      <c r="D662" s="116">
        <v>0.0005352281502286346</v>
      </c>
      <c r="E662" s="116">
        <v>2.3791354840197694</v>
      </c>
      <c r="F662" s="114" t="s">
        <v>2559</v>
      </c>
      <c r="G662" s="114" t="b">
        <v>0</v>
      </c>
      <c r="H662" s="114" t="b">
        <v>0</v>
      </c>
      <c r="I662" s="114" t="b">
        <v>0</v>
      </c>
      <c r="J662" s="114" t="b">
        <v>0</v>
      </c>
      <c r="K662" s="114" t="b">
        <v>0</v>
      </c>
      <c r="L662" s="114" t="b">
        <v>0</v>
      </c>
    </row>
    <row r="663" spans="1:12" ht="15">
      <c r="A663" s="114" t="s">
        <v>2366</v>
      </c>
      <c r="B663" s="114" t="s">
        <v>2194</v>
      </c>
      <c r="C663" s="114">
        <v>2</v>
      </c>
      <c r="D663" s="116">
        <v>0.0005352281502286346</v>
      </c>
      <c r="E663" s="116">
        <v>3.4071642076200126</v>
      </c>
      <c r="F663" s="114" t="s">
        <v>2559</v>
      </c>
      <c r="G663" s="114" t="b">
        <v>0</v>
      </c>
      <c r="H663" s="114" t="b">
        <v>0</v>
      </c>
      <c r="I663" s="114" t="b">
        <v>0</v>
      </c>
      <c r="J663" s="114" t="b">
        <v>0</v>
      </c>
      <c r="K663" s="114" t="b">
        <v>0</v>
      </c>
      <c r="L663" s="114" t="b">
        <v>0</v>
      </c>
    </row>
    <row r="664" spans="1:12" ht="15">
      <c r="A664" s="114" t="s">
        <v>2194</v>
      </c>
      <c r="B664" s="114" t="s">
        <v>1747</v>
      </c>
      <c r="C664" s="114">
        <v>2</v>
      </c>
      <c r="D664" s="116">
        <v>0.0005352281502286346</v>
      </c>
      <c r="E664" s="116">
        <v>1.9811954753477317</v>
      </c>
      <c r="F664" s="114" t="s">
        <v>2559</v>
      </c>
      <c r="G664" s="114" t="b">
        <v>0</v>
      </c>
      <c r="H664" s="114" t="b">
        <v>0</v>
      </c>
      <c r="I664" s="114" t="b">
        <v>0</v>
      </c>
      <c r="J664" s="114" t="b">
        <v>0</v>
      </c>
      <c r="K664" s="114" t="b">
        <v>0</v>
      </c>
      <c r="L664" s="114" t="b">
        <v>0</v>
      </c>
    </row>
    <row r="665" spans="1:12" ht="15">
      <c r="A665" s="114" t="s">
        <v>1879</v>
      </c>
      <c r="B665" s="114" t="s">
        <v>1739</v>
      </c>
      <c r="C665" s="114">
        <v>2</v>
      </c>
      <c r="D665" s="116">
        <v>0.0005352281502286346</v>
      </c>
      <c r="E665" s="116">
        <v>0.502268419764807</v>
      </c>
      <c r="F665" s="114" t="s">
        <v>2559</v>
      </c>
      <c r="G665" s="114" t="b">
        <v>0</v>
      </c>
      <c r="H665" s="114" t="b">
        <v>0</v>
      </c>
      <c r="I665" s="114" t="b">
        <v>0</v>
      </c>
      <c r="J665" s="114" t="b">
        <v>0</v>
      </c>
      <c r="K665" s="114" t="b">
        <v>0</v>
      </c>
      <c r="L665" s="114" t="b">
        <v>0</v>
      </c>
    </row>
    <row r="666" spans="1:12" ht="15">
      <c r="A666" s="114" t="s">
        <v>1968</v>
      </c>
      <c r="B666" s="114" t="s">
        <v>2188</v>
      </c>
      <c r="C666" s="114">
        <v>2</v>
      </c>
      <c r="D666" s="116">
        <v>0.0005352281502286346</v>
      </c>
      <c r="E666" s="116">
        <v>2.9300429529003504</v>
      </c>
      <c r="F666" s="114" t="s">
        <v>2559</v>
      </c>
      <c r="G666" s="114" t="b">
        <v>0</v>
      </c>
      <c r="H666" s="114" t="b">
        <v>0</v>
      </c>
      <c r="I666" s="114" t="b">
        <v>0</v>
      </c>
      <c r="J666" s="114" t="b">
        <v>0</v>
      </c>
      <c r="K666" s="114" t="b">
        <v>0</v>
      </c>
      <c r="L666" s="114" t="b">
        <v>0</v>
      </c>
    </row>
    <row r="667" spans="1:12" ht="15">
      <c r="A667" s="114" t="s">
        <v>1745</v>
      </c>
      <c r="B667" s="114" t="s">
        <v>1775</v>
      </c>
      <c r="C667" s="114">
        <v>2</v>
      </c>
      <c r="D667" s="116">
        <v>0.0005352281502286346</v>
      </c>
      <c r="E667" s="116">
        <v>0.8693451125467389</v>
      </c>
      <c r="F667" s="114" t="s">
        <v>2559</v>
      </c>
      <c r="G667" s="114" t="b">
        <v>0</v>
      </c>
      <c r="H667" s="114" t="b">
        <v>0</v>
      </c>
      <c r="I667" s="114" t="b">
        <v>0</v>
      </c>
      <c r="J667" s="114" t="b">
        <v>0</v>
      </c>
      <c r="K667" s="114" t="b">
        <v>0</v>
      </c>
      <c r="L667" s="114" t="b">
        <v>0</v>
      </c>
    </row>
    <row r="668" spans="1:12" ht="15">
      <c r="A668" s="114" t="s">
        <v>1739</v>
      </c>
      <c r="B668" s="114" t="s">
        <v>2370</v>
      </c>
      <c r="C668" s="114">
        <v>2</v>
      </c>
      <c r="D668" s="116">
        <v>0.0005352281502286346</v>
      </c>
      <c r="E668" s="116">
        <v>1.1896802634061066</v>
      </c>
      <c r="F668" s="114" t="s">
        <v>2559</v>
      </c>
      <c r="G668" s="114" t="b">
        <v>0</v>
      </c>
      <c r="H668" s="114" t="b">
        <v>0</v>
      </c>
      <c r="I668" s="114" t="b">
        <v>0</v>
      </c>
      <c r="J668" s="114" t="b">
        <v>0</v>
      </c>
      <c r="K668" s="114" t="b">
        <v>0</v>
      </c>
      <c r="L668" s="114" t="b">
        <v>0</v>
      </c>
    </row>
    <row r="669" spans="1:12" ht="15">
      <c r="A669" s="114" t="s">
        <v>2370</v>
      </c>
      <c r="B669" s="114" t="s">
        <v>1739</v>
      </c>
      <c r="C669" s="114">
        <v>2</v>
      </c>
      <c r="D669" s="116">
        <v>0.0005352281502286346</v>
      </c>
      <c r="E669" s="116">
        <v>1.2012384241008256</v>
      </c>
      <c r="F669" s="114" t="s">
        <v>2559</v>
      </c>
      <c r="G669" s="114" t="b">
        <v>0</v>
      </c>
      <c r="H669" s="114" t="b">
        <v>0</v>
      </c>
      <c r="I669" s="114" t="b">
        <v>0</v>
      </c>
      <c r="J669" s="114" t="b">
        <v>0</v>
      </c>
      <c r="K669" s="114" t="b">
        <v>0</v>
      </c>
      <c r="L669" s="114" t="b">
        <v>0</v>
      </c>
    </row>
    <row r="670" spans="1:12" ht="15">
      <c r="A670" s="114" t="s">
        <v>1945</v>
      </c>
      <c r="B670" s="114" t="s">
        <v>2371</v>
      </c>
      <c r="C670" s="114">
        <v>2</v>
      </c>
      <c r="D670" s="116">
        <v>0.0006112074525163633</v>
      </c>
      <c r="E670" s="116">
        <v>3.0391874223254183</v>
      </c>
      <c r="F670" s="114" t="s">
        <v>2559</v>
      </c>
      <c r="G670" s="114" t="b">
        <v>0</v>
      </c>
      <c r="H670" s="114" t="b">
        <v>0</v>
      </c>
      <c r="I670" s="114" t="b">
        <v>0</v>
      </c>
      <c r="J670" s="114" t="b">
        <v>0</v>
      </c>
      <c r="K670" s="114" t="b">
        <v>0</v>
      </c>
      <c r="L670" s="114" t="b">
        <v>0</v>
      </c>
    </row>
    <row r="671" spans="1:12" ht="15">
      <c r="A671" s="114" t="s">
        <v>1742</v>
      </c>
      <c r="B671" s="114" t="s">
        <v>1814</v>
      </c>
      <c r="C671" s="114">
        <v>2</v>
      </c>
      <c r="D671" s="116">
        <v>0.0005352281502286346</v>
      </c>
      <c r="E671" s="116">
        <v>0.7021562482866768</v>
      </c>
      <c r="F671" s="114" t="s">
        <v>2559</v>
      </c>
      <c r="G671" s="114" t="b">
        <v>0</v>
      </c>
      <c r="H671" s="114" t="b">
        <v>0</v>
      </c>
      <c r="I671" s="114" t="b">
        <v>0</v>
      </c>
      <c r="J671" s="114" t="b">
        <v>0</v>
      </c>
      <c r="K671" s="114" t="b">
        <v>0</v>
      </c>
      <c r="L671" s="114" t="b">
        <v>0</v>
      </c>
    </row>
    <row r="672" spans="1:12" ht="15">
      <c r="A672" s="114" t="s">
        <v>1814</v>
      </c>
      <c r="B672" s="114" t="s">
        <v>1742</v>
      </c>
      <c r="C672" s="114">
        <v>2</v>
      </c>
      <c r="D672" s="116">
        <v>0.0005352281502286346</v>
      </c>
      <c r="E672" s="116">
        <v>0.6553720563449872</v>
      </c>
      <c r="F672" s="114" t="s">
        <v>2559</v>
      </c>
      <c r="G672" s="114" t="b">
        <v>0</v>
      </c>
      <c r="H672" s="114" t="b">
        <v>0</v>
      </c>
      <c r="I672" s="114" t="b">
        <v>0</v>
      </c>
      <c r="J672" s="114" t="b">
        <v>0</v>
      </c>
      <c r="K672" s="114" t="b">
        <v>0</v>
      </c>
      <c r="L672" s="114" t="b">
        <v>0</v>
      </c>
    </row>
    <row r="673" spans="1:12" ht="15">
      <c r="A673" s="114" t="s">
        <v>1800</v>
      </c>
      <c r="B673" s="114" t="s">
        <v>1741</v>
      </c>
      <c r="C673" s="114">
        <v>2</v>
      </c>
      <c r="D673" s="116">
        <v>0.0005352281502286346</v>
      </c>
      <c r="E673" s="116">
        <v>0.5332626097555515</v>
      </c>
      <c r="F673" s="114" t="s">
        <v>2559</v>
      </c>
      <c r="G673" s="114" t="b">
        <v>0</v>
      </c>
      <c r="H673" s="114" t="b">
        <v>0</v>
      </c>
      <c r="I673" s="114" t="b">
        <v>0</v>
      </c>
      <c r="J673" s="114" t="b">
        <v>0</v>
      </c>
      <c r="K673" s="114" t="b">
        <v>0</v>
      </c>
      <c r="L673" s="114" t="b">
        <v>0</v>
      </c>
    </row>
    <row r="674" spans="1:12" ht="15">
      <c r="A674" s="114" t="s">
        <v>1739</v>
      </c>
      <c r="B674" s="114" t="s">
        <v>2005</v>
      </c>
      <c r="C674" s="114">
        <v>2</v>
      </c>
      <c r="D674" s="116">
        <v>0.0006112074525163633</v>
      </c>
      <c r="E674" s="116">
        <v>0.791740254734069</v>
      </c>
      <c r="F674" s="114" t="s">
        <v>2559</v>
      </c>
      <c r="G674" s="114" t="b">
        <v>0</v>
      </c>
      <c r="H674" s="114" t="b">
        <v>0</v>
      </c>
      <c r="I674" s="114" t="b">
        <v>0</v>
      </c>
      <c r="J674" s="114" t="b">
        <v>0</v>
      </c>
      <c r="K674" s="114" t="b">
        <v>0</v>
      </c>
      <c r="L674" s="114" t="b">
        <v>0</v>
      </c>
    </row>
    <row r="675" spans="1:12" ht="15">
      <c r="A675" s="114" t="s">
        <v>1891</v>
      </c>
      <c r="B675" s="114" t="s">
        <v>1749</v>
      </c>
      <c r="C675" s="114">
        <v>2</v>
      </c>
      <c r="D675" s="116">
        <v>0.0005352281502286346</v>
      </c>
      <c r="E675" s="116">
        <v>1.4828849215581312</v>
      </c>
      <c r="F675" s="114" t="s">
        <v>2559</v>
      </c>
      <c r="G675" s="114" t="b">
        <v>0</v>
      </c>
      <c r="H675" s="114" t="b">
        <v>0</v>
      </c>
      <c r="I675" s="114" t="b">
        <v>0</v>
      </c>
      <c r="J675" s="114" t="b">
        <v>0</v>
      </c>
      <c r="K675" s="114" t="b">
        <v>0</v>
      </c>
      <c r="L675" s="114" t="b">
        <v>0</v>
      </c>
    </row>
    <row r="676" spans="1:12" ht="15">
      <c r="A676" s="114" t="s">
        <v>1742</v>
      </c>
      <c r="B676" s="114" t="s">
        <v>2077</v>
      </c>
      <c r="C676" s="114">
        <v>2</v>
      </c>
      <c r="D676" s="116">
        <v>0.0005352281502286346</v>
      </c>
      <c r="E676" s="116">
        <v>1.2140396092655512</v>
      </c>
      <c r="F676" s="114" t="s">
        <v>2559</v>
      </c>
      <c r="G676" s="114" t="b">
        <v>0</v>
      </c>
      <c r="H676" s="114" t="b">
        <v>0</v>
      </c>
      <c r="I676" s="114" t="b">
        <v>0</v>
      </c>
      <c r="J676" s="114" t="b">
        <v>0</v>
      </c>
      <c r="K676" s="114" t="b">
        <v>0</v>
      </c>
      <c r="L676" s="114" t="b">
        <v>0</v>
      </c>
    </row>
    <row r="677" spans="1:12" ht="15">
      <c r="A677" s="114" t="s">
        <v>1739</v>
      </c>
      <c r="B677" s="114" t="s">
        <v>1783</v>
      </c>
      <c r="C677" s="114">
        <v>2</v>
      </c>
      <c r="D677" s="116">
        <v>0.0005352281502286346</v>
      </c>
      <c r="E677" s="116">
        <v>0.18968026340610658</v>
      </c>
      <c r="F677" s="114" t="s">
        <v>2559</v>
      </c>
      <c r="G677" s="114" t="b">
        <v>0</v>
      </c>
      <c r="H677" s="114" t="b">
        <v>0</v>
      </c>
      <c r="I677" s="114" t="b">
        <v>0</v>
      </c>
      <c r="J677" s="114" t="b">
        <v>0</v>
      </c>
      <c r="K677" s="114" t="b">
        <v>0</v>
      </c>
      <c r="L677" s="114" t="b">
        <v>0</v>
      </c>
    </row>
    <row r="678" spans="1:12" ht="15">
      <c r="A678" s="114" t="s">
        <v>1741</v>
      </c>
      <c r="B678" s="114" t="s">
        <v>1783</v>
      </c>
      <c r="C678" s="114">
        <v>2</v>
      </c>
      <c r="D678" s="116">
        <v>0.0005352281502286346</v>
      </c>
      <c r="E678" s="116">
        <v>0.43557914243459545</v>
      </c>
      <c r="F678" s="114" t="s">
        <v>2559</v>
      </c>
      <c r="G678" s="114" t="b">
        <v>0</v>
      </c>
      <c r="H678" s="114" t="b">
        <v>0</v>
      </c>
      <c r="I678" s="114" t="b">
        <v>0</v>
      </c>
      <c r="J678" s="114" t="b">
        <v>0</v>
      </c>
      <c r="K678" s="114" t="b">
        <v>0</v>
      </c>
      <c r="L678" s="114" t="b">
        <v>0</v>
      </c>
    </row>
    <row r="679" spans="1:12" ht="15">
      <c r="A679" s="114" t="s">
        <v>2143</v>
      </c>
      <c r="B679" s="114" t="s">
        <v>1851</v>
      </c>
      <c r="C679" s="114">
        <v>2</v>
      </c>
      <c r="D679" s="116">
        <v>0.0006112074525163633</v>
      </c>
      <c r="E679" s="116">
        <v>2.666801518125769</v>
      </c>
      <c r="F679" s="114" t="s">
        <v>2559</v>
      </c>
      <c r="G679" s="114" t="b">
        <v>0</v>
      </c>
      <c r="H679" s="114" t="b">
        <v>0</v>
      </c>
      <c r="I679" s="114" t="b">
        <v>0</v>
      </c>
      <c r="J679" s="114" t="b">
        <v>0</v>
      </c>
      <c r="K679" s="114" t="b">
        <v>0</v>
      </c>
      <c r="L679" s="114" t="b">
        <v>0</v>
      </c>
    </row>
    <row r="680" spans="1:12" ht="15">
      <c r="A680" s="114" t="s">
        <v>1851</v>
      </c>
      <c r="B680" s="114" t="s">
        <v>1874</v>
      </c>
      <c r="C680" s="114">
        <v>2</v>
      </c>
      <c r="D680" s="116">
        <v>0.0006112074525163633</v>
      </c>
      <c r="E680" s="116">
        <v>2.1439227728454315</v>
      </c>
      <c r="F680" s="114" t="s">
        <v>2559</v>
      </c>
      <c r="G680" s="114" t="b">
        <v>0</v>
      </c>
      <c r="H680" s="114" t="b">
        <v>0</v>
      </c>
      <c r="I680" s="114" t="b">
        <v>0</v>
      </c>
      <c r="J680" s="114" t="b">
        <v>0</v>
      </c>
      <c r="K680" s="114" t="b">
        <v>0</v>
      </c>
      <c r="L680" s="114" t="b">
        <v>0</v>
      </c>
    </row>
    <row r="681" spans="1:12" ht="15">
      <c r="A681" s="114" t="s">
        <v>1851</v>
      </c>
      <c r="B681" s="114" t="s">
        <v>1741</v>
      </c>
      <c r="C681" s="114">
        <v>2</v>
      </c>
      <c r="D681" s="116">
        <v>0.0006112074525163633</v>
      </c>
      <c r="E681" s="116">
        <v>0.7223188459756005</v>
      </c>
      <c r="F681" s="114" t="s">
        <v>2559</v>
      </c>
      <c r="G681" s="114" t="b">
        <v>0</v>
      </c>
      <c r="H681" s="114" t="b">
        <v>0</v>
      </c>
      <c r="I681" s="114" t="b">
        <v>0</v>
      </c>
      <c r="J681" s="114" t="b">
        <v>0</v>
      </c>
      <c r="K681" s="114" t="b">
        <v>0</v>
      </c>
      <c r="L681" s="114" t="b">
        <v>0</v>
      </c>
    </row>
    <row r="682" spans="1:12" ht="15">
      <c r="A682" s="114" t="s">
        <v>1741</v>
      </c>
      <c r="B682" s="114" t="s">
        <v>1961</v>
      </c>
      <c r="C682" s="114">
        <v>2</v>
      </c>
      <c r="D682" s="116">
        <v>0.0006112074525163633</v>
      </c>
      <c r="E682" s="116">
        <v>0.958457887714933</v>
      </c>
      <c r="F682" s="114" t="s">
        <v>2559</v>
      </c>
      <c r="G682" s="114" t="b">
        <v>0</v>
      </c>
      <c r="H682" s="114" t="b">
        <v>0</v>
      </c>
      <c r="I682" s="114" t="b">
        <v>0</v>
      </c>
      <c r="J682" s="114" t="b">
        <v>0</v>
      </c>
      <c r="K682" s="114" t="b">
        <v>0</v>
      </c>
      <c r="L682" s="114" t="b">
        <v>0</v>
      </c>
    </row>
    <row r="683" spans="1:12" ht="15">
      <c r="A683" s="114" t="s">
        <v>1783</v>
      </c>
      <c r="B683" s="114" t="s">
        <v>1782</v>
      </c>
      <c r="C683" s="114">
        <v>2</v>
      </c>
      <c r="D683" s="116">
        <v>0.0006112074525163633</v>
      </c>
      <c r="E683" s="116">
        <v>1.5408768685358178</v>
      </c>
      <c r="F683" s="114" t="s">
        <v>2559</v>
      </c>
      <c r="G683" s="114" t="b">
        <v>0</v>
      </c>
      <c r="H683" s="114" t="b">
        <v>0</v>
      </c>
      <c r="I683" s="114" t="b">
        <v>0</v>
      </c>
      <c r="J683" s="114" t="b">
        <v>0</v>
      </c>
      <c r="K683" s="114" t="b">
        <v>0</v>
      </c>
      <c r="L683" s="114" t="b">
        <v>0</v>
      </c>
    </row>
    <row r="684" spans="1:12" ht="15">
      <c r="A684" s="114" t="s">
        <v>1782</v>
      </c>
      <c r="B684" s="114" t="s">
        <v>1741</v>
      </c>
      <c r="C684" s="114">
        <v>2</v>
      </c>
      <c r="D684" s="116">
        <v>0.0005352281502286346</v>
      </c>
      <c r="E684" s="116">
        <v>0.4849579301809965</v>
      </c>
      <c r="F684" s="114" t="s">
        <v>2559</v>
      </c>
      <c r="G684" s="114" t="b">
        <v>0</v>
      </c>
      <c r="H684" s="114" t="b">
        <v>0</v>
      </c>
      <c r="I684" s="114" t="b">
        <v>0</v>
      </c>
      <c r="J684" s="114" t="b">
        <v>0</v>
      </c>
      <c r="K684" s="114" t="b">
        <v>0</v>
      </c>
      <c r="L684" s="114" t="b">
        <v>0</v>
      </c>
    </row>
    <row r="685" spans="1:12" ht="15">
      <c r="A685" s="114" t="s">
        <v>1874</v>
      </c>
      <c r="B685" s="114" t="s">
        <v>1741</v>
      </c>
      <c r="C685" s="114">
        <v>2</v>
      </c>
      <c r="D685" s="116">
        <v>0.0006112074525163633</v>
      </c>
      <c r="E685" s="116">
        <v>0.8094690216945005</v>
      </c>
      <c r="F685" s="114" t="s">
        <v>2559</v>
      </c>
      <c r="G685" s="114" t="b">
        <v>0</v>
      </c>
      <c r="H685" s="114" t="b">
        <v>0</v>
      </c>
      <c r="I685" s="114" t="b">
        <v>0</v>
      </c>
      <c r="J685" s="114" t="b">
        <v>0</v>
      </c>
      <c r="K685" s="114" t="b">
        <v>0</v>
      </c>
      <c r="L685" s="114" t="b">
        <v>0</v>
      </c>
    </row>
    <row r="686" spans="1:12" ht="15">
      <c r="A686" s="114" t="s">
        <v>1743</v>
      </c>
      <c r="B686" s="114" t="s">
        <v>1758</v>
      </c>
      <c r="C686" s="114">
        <v>2</v>
      </c>
      <c r="D686" s="116">
        <v>0.0005352281502286346</v>
      </c>
      <c r="E686" s="116">
        <v>0.35601168517263165</v>
      </c>
      <c r="F686" s="114" t="s">
        <v>2559</v>
      </c>
      <c r="G686" s="114" t="b">
        <v>0</v>
      </c>
      <c r="H686" s="114" t="b">
        <v>0</v>
      </c>
      <c r="I686" s="114" t="b">
        <v>0</v>
      </c>
      <c r="J686" s="114" t="b">
        <v>0</v>
      </c>
      <c r="K686" s="114" t="b">
        <v>0</v>
      </c>
      <c r="L686" s="114" t="b">
        <v>0</v>
      </c>
    </row>
    <row r="687" spans="1:12" ht="15">
      <c r="A687" s="114" t="s">
        <v>2012</v>
      </c>
      <c r="B687" s="114" t="s">
        <v>1760</v>
      </c>
      <c r="C687" s="114">
        <v>2</v>
      </c>
      <c r="D687" s="116">
        <v>0.0006112074525163633</v>
      </c>
      <c r="E687" s="116">
        <v>1.994983759833365</v>
      </c>
      <c r="F687" s="114" t="s">
        <v>2559</v>
      </c>
      <c r="G687" s="114" t="b">
        <v>0</v>
      </c>
      <c r="H687" s="114" t="b">
        <v>0</v>
      </c>
      <c r="I687" s="114" t="b">
        <v>0</v>
      </c>
      <c r="J687" s="114" t="b">
        <v>0</v>
      </c>
      <c r="K687" s="114" t="b">
        <v>0</v>
      </c>
      <c r="L687" s="114" t="b">
        <v>0</v>
      </c>
    </row>
    <row r="688" spans="1:12" ht="15">
      <c r="A688" s="114" t="s">
        <v>1743</v>
      </c>
      <c r="B688" s="114" t="s">
        <v>1970</v>
      </c>
      <c r="C688" s="114">
        <v>2</v>
      </c>
      <c r="D688" s="116">
        <v>0.0006112074525163633</v>
      </c>
      <c r="E688" s="116">
        <v>1.0549816895086503</v>
      </c>
      <c r="F688" s="114" t="s">
        <v>2559</v>
      </c>
      <c r="G688" s="114" t="b">
        <v>0</v>
      </c>
      <c r="H688" s="114" t="b">
        <v>0</v>
      </c>
      <c r="I688" s="114" t="b">
        <v>0</v>
      </c>
      <c r="J688" s="114" t="b">
        <v>0</v>
      </c>
      <c r="K688" s="114" t="b">
        <v>0</v>
      </c>
      <c r="L688" s="114" t="b">
        <v>0</v>
      </c>
    </row>
    <row r="689" spans="1:12" ht="15">
      <c r="A689" s="114" t="s">
        <v>2203</v>
      </c>
      <c r="B689" s="114" t="s">
        <v>1741</v>
      </c>
      <c r="C689" s="114">
        <v>2</v>
      </c>
      <c r="D689" s="116">
        <v>0.0005352281502286346</v>
      </c>
      <c r="E689" s="116">
        <v>1.286590276414163</v>
      </c>
      <c r="F689" s="114" t="s">
        <v>2559</v>
      </c>
      <c r="G689" s="114" t="b">
        <v>0</v>
      </c>
      <c r="H689" s="114" t="b">
        <v>0</v>
      </c>
      <c r="I689" s="114" t="b">
        <v>0</v>
      </c>
      <c r="J689" s="114" t="b">
        <v>0</v>
      </c>
      <c r="K689" s="114" t="b">
        <v>0</v>
      </c>
      <c r="L689" s="114" t="b">
        <v>0</v>
      </c>
    </row>
    <row r="690" spans="1:12" ht="15">
      <c r="A690" s="114" t="s">
        <v>2381</v>
      </c>
      <c r="B690" s="114" t="s">
        <v>1991</v>
      </c>
      <c r="C690" s="114">
        <v>2</v>
      </c>
      <c r="D690" s="116">
        <v>0.0005352281502286346</v>
      </c>
      <c r="E690" s="116">
        <v>3.1853154580036565</v>
      </c>
      <c r="F690" s="114" t="s">
        <v>2559</v>
      </c>
      <c r="G690" s="114" t="b">
        <v>0</v>
      </c>
      <c r="H690" s="114" t="b">
        <v>0</v>
      </c>
      <c r="I690" s="114" t="b">
        <v>0</v>
      </c>
      <c r="J690" s="114" t="b">
        <v>0</v>
      </c>
      <c r="K690" s="114" t="b">
        <v>0</v>
      </c>
      <c r="L690" s="114" t="b">
        <v>0</v>
      </c>
    </row>
    <row r="691" spans="1:12" ht="15">
      <c r="A691" s="114" t="s">
        <v>2383</v>
      </c>
      <c r="B691" s="114" t="s">
        <v>2384</v>
      </c>
      <c r="C691" s="114">
        <v>2</v>
      </c>
      <c r="D691" s="116">
        <v>0.0005352281502286346</v>
      </c>
      <c r="E691" s="116">
        <v>3.583255466675694</v>
      </c>
      <c r="F691" s="114" t="s">
        <v>2559</v>
      </c>
      <c r="G691" s="114" t="b">
        <v>0</v>
      </c>
      <c r="H691" s="114" t="b">
        <v>0</v>
      </c>
      <c r="I691" s="114" t="b">
        <v>0</v>
      </c>
      <c r="J691" s="114" t="b">
        <v>0</v>
      </c>
      <c r="K691" s="114" t="b">
        <v>0</v>
      </c>
      <c r="L691" s="114" t="b">
        <v>0</v>
      </c>
    </row>
    <row r="692" spans="1:12" ht="15">
      <c r="A692" s="114" t="s">
        <v>2386</v>
      </c>
      <c r="B692" s="114" t="s">
        <v>1818</v>
      </c>
      <c r="C692" s="114">
        <v>2</v>
      </c>
      <c r="D692" s="116">
        <v>0.0005352281502286346</v>
      </c>
      <c r="E692" s="116">
        <v>2.738157426661437</v>
      </c>
      <c r="F692" s="114" t="s">
        <v>2559</v>
      </c>
      <c r="G692" s="114" t="b">
        <v>0</v>
      </c>
      <c r="H692" s="114" t="b">
        <v>0</v>
      </c>
      <c r="I692" s="114" t="b">
        <v>0</v>
      </c>
      <c r="J692" s="114" t="b">
        <v>0</v>
      </c>
      <c r="K692" s="114" t="b">
        <v>0</v>
      </c>
      <c r="L692" s="114" t="b">
        <v>0</v>
      </c>
    </row>
    <row r="693" spans="1:12" ht="15">
      <c r="A693" s="114" t="s">
        <v>2387</v>
      </c>
      <c r="B693" s="114" t="s">
        <v>2388</v>
      </c>
      <c r="C693" s="114">
        <v>2</v>
      </c>
      <c r="D693" s="116">
        <v>0.0006112074525163633</v>
      </c>
      <c r="E693" s="116">
        <v>3.583255466675694</v>
      </c>
      <c r="F693" s="114" t="s">
        <v>2559</v>
      </c>
      <c r="G693" s="114" t="b">
        <v>0</v>
      </c>
      <c r="H693" s="114" t="b">
        <v>0</v>
      </c>
      <c r="I693" s="114" t="b">
        <v>0</v>
      </c>
      <c r="J693" s="114" t="b">
        <v>0</v>
      </c>
      <c r="K693" s="114" t="b">
        <v>0</v>
      </c>
      <c r="L693" s="114" t="b">
        <v>0</v>
      </c>
    </row>
    <row r="694" spans="1:12" ht="15">
      <c r="A694" s="114" t="s">
        <v>1748</v>
      </c>
      <c r="B694" s="114" t="s">
        <v>1986</v>
      </c>
      <c r="C694" s="114">
        <v>2</v>
      </c>
      <c r="D694" s="116">
        <v>0.0005352281502286346</v>
      </c>
      <c r="E694" s="116">
        <v>1.6112841902759376</v>
      </c>
      <c r="F694" s="114" t="s">
        <v>2559</v>
      </c>
      <c r="G694" s="114" t="b">
        <v>0</v>
      </c>
      <c r="H694" s="114" t="b">
        <v>0</v>
      </c>
      <c r="I694" s="114" t="b">
        <v>0</v>
      </c>
      <c r="J694" s="114" t="b">
        <v>0</v>
      </c>
      <c r="K694" s="114" t="b">
        <v>1</v>
      </c>
      <c r="L694" s="114" t="b">
        <v>0</v>
      </c>
    </row>
    <row r="695" spans="1:12" ht="15">
      <c r="A695" s="114" t="s">
        <v>1752</v>
      </c>
      <c r="B695" s="114" t="s">
        <v>1924</v>
      </c>
      <c r="C695" s="114">
        <v>2</v>
      </c>
      <c r="D695" s="116">
        <v>0.0006112074525163633</v>
      </c>
      <c r="E695" s="116">
        <v>1.8142475957319202</v>
      </c>
      <c r="F695" s="114" t="s">
        <v>2559</v>
      </c>
      <c r="G695" s="114" t="b">
        <v>0</v>
      </c>
      <c r="H695" s="114" t="b">
        <v>0</v>
      </c>
      <c r="I695" s="114" t="b">
        <v>0</v>
      </c>
      <c r="J695" s="114" t="b">
        <v>0</v>
      </c>
      <c r="K695" s="114" t="b">
        <v>0</v>
      </c>
      <c r="L695" s="114" t="b">
        <v>0</v>
      </c>
    </row>
    <row r="696" spans="1:12" ht="15">
      <c r="A696" s="114" t="s">
        <v>1752</v>
      </c>
      <c r="B696" s="114" t="s">
        <v>2390</v>
      </c>
      <c r="C696" s="114">
        <v>2</v>
      </c>
      <c r="D696" s="116">
        <v>0.0006112074525163633</v>
      </c>
      <c r="E696" s="116">
        <v>2.2121876044039577</v>
      </c>
      <c r="F696" s="114" t="s">
        <v>2559</v>
      </c>
      <c r="G696" s="114" t="b">
        <v>0</v>
      </c>
      <c r="H696" s="114" t="b">
        <v>0</v>
      </c>
      <c r="I696" s="114" t="b">
        <v>0</v>
      </c>
      <c r="J696" s="114" t="b">
        <v>0</v>
      </c>
      <c r="K696" s="114" t="b">
        <v>0</v>
      </c>
      <c r="L696" s="114" t="b">
        <v>0</v>
      </c>
    </row>
    <row r="697" spans="1:12" ht="15">
      <c r="A697" s="114" t="s">
        <v>1739</v>
      </c>
      <c r="B697" s="114" t="s">
        <v>1917</v>
      </c>
      <c r="C697" s="114">
        <v>2</v>
      </c>
      <c r="D697" s="116">
        <v>0.0005352281502286346</v>
      </c>
      <c r="E697" s="116">
        <v>0.5876202720781442</v>
      </c>
      <c r="F697" s="114" t="s">
        <v>2559</v>
      </c>
      <c r="G697" s="114" t="b">
        <v>0</v>
      </c>
      <c r="H697" s="114" t="b">
        <v>0</v>
      </c>
      <c r="I697" s="114" t="b">
        <v>0</v>
      </c>
      <c r="J697" s="114" t="b">
        <v>0</v>
      </c>
      <c r="K697" s="114" t="b">
        <v>0</v>
      </c>
      <c r="L697" s="114" t="b">
        <v>0</v>
      </c>
    </row>
    <row r="698" spans="1:12" ht="15">
      <c r="A698" s="114" t="s">
        <v>1764</v>
      </c>
      <c r="B698" s="114" t="s">
        <v>1960</v>
      </c>
      <c r="C698" s="114">
        <v>2</v>
      </c>
      <c r="D698" s="116">
        <v>0.0005352281502286346</v>
      </c>
      <c r="E698" s="116">
        <v>1.9758004434610255</v>
      </c>
      <c r="F698" s="114" t="s">
        <v>2559</v>
      </c>
      <c r="G698" s="114" t="b">
        <v>0</v>
      </c>
      <c r="H698" s="114" t="b">
        <v>0</v>
      </c>
      <c r="I698" s="114" t="b">
        <v>0</v>
      </c>
      <c r="J698" s="114" t="b">
        <v>0</v>
      </c>
      <c r="K698" s="114" t="b">
        <v>1</v>
      </c>
      <c r="L698" s="114" t="b">
        <v>0</v>
      </c>
    </row>
    <row r="699" spans="1:12" ht="15">
      <c r="A699" s="114" t="s">
        <v>1741</v>
      </c>
      <c r="B699" s="114" t="s">
        <v>1998</v>
      </c>
      <c r="C699" s="114">
        <v>2</v>
      </c>
      <c r="D699" s="116">
        <v>0.0006112074525163633</v>
      </c>
      <c r="E699" s="116">
        <v>1.037639133762558</v>
      </c>
      <c r="F699" s="114" t="s">
        <v>2559</v>
      </c>
      <c r="G699" s="114" t="b">
        <v>0</v>
      </c>
      <c r="H699" s="114" t="b">
        <v>0</v>
      </c>
      <c r="I699" s="114" t="b">
        <v>0</v>
      </c>
      <c r="J699" s="114" t="b">
        <v>1</v>
      </c>
      <c r="K699" s="114" t="b">
        <v>0</v>
      </c>
      <c r="L699" s="114" t="b">
        <v>0</v>
      </c>
    </row>
    <row r="700" spans="1:12" ht="15">
      <c r="A700" s="114" t="s">
        <v>1739</v>
      </c>
      <c r="B700" s="114" t="s">
        <v>2014</v>
      </c>
      <c r="C700" s="114">
        <v>2</v>
      </c>
      <c r="D700" s="116">
        <v>0.0005352281502286346</v>
      </c>
      <c r="E700" s="116">
        <v>0.791740254734069</v>
      </c>
      <c r="F700" s="114" t="s">
        <v>2559</v>
      </c>
      <c r="G700" s="114" t="b">
        <v>0</v>
      </c>
      <c r="H700" s="114" t="b">
        <v>0</v>
      </c>
      <c r="I700" s="114" t="b">
        <v>0</v>
      </c>
      <c r="J700" s="114" t="b">
        <v>0</v>
      </c>
      <c r="K700" s="114" t="b">
        <v>0</v>
      </c>
      <c r="L700" s="114" t="b">
        <v>0</v>
      </c>
    </row>
    <row r="701" spans="1:12" ht="15">
      <c r="A701" s="114" t="s">
        <v>1901</v>
      </c>
      <c r="B701" s="114" t="s">
        <v>1828</v>
      </c>
      <c r="C701" s="114">
        <v>2</v>
      </c>
      <c r="D701" s="116">
        <v>0.0005352281502286346</v>
      </c>
      <c r="E701" s="116">
        <v>2.1171295962574948</v>
      </c>
      <c r="F701" s="114" t="s">
        <v>2559</v>
      </c>
      <c r="G701" s="114" t="b">
        <v>0</v>
      </c>
      <c r="H701" s="114" t="b">
        <v>0</v>
      </c>
      <c r="I701" s="114" t="b">
        <v>0</v>
      </c>
      <c r="J701" s="114" t="b">
        <v>0</v>
      </c>
      <c r="K701" s="114" t="b">
        <v>0</v>
      </c>
      <c r="L701" s="114" t="b">
        <v>0</v>
      </c>
    </row>
    <row r="702" spans="1:12" ht="15">
      <c r="A702" s="114" t="s">
        <v>1901</v>
      </c>
      <c r="B702" s="114" t="s">
        <v>1758</v>
      </c>
      <c r="C702" s="114">
        <v>2</v>
      </c>
      <c r="D702" s="116">
        <v>0.0005352281502286346</v>
      </c>
      <c r="E702" s="116">
        <v>1.753951693844669</v>
      </c>
      <c r="F702" s="114" t="s">
        <v>2559</v>
      </c>
      <c r="G702" s="114" t="b">
        <v>0</v>
      </c>
      <c r="H702" s="114" t="b">
        <v>0</v>
      </c>
      <c r="I702" s="114" t="b">
        <v>0</v>
      </c>
      <c r="J702" s="114" t="b">
        <v>0</v>
      </c>
      <c r="K702" s="114" t="b">
        <v>0</v>
      </c>
      <c r="L702" s="114" t="b">
        <v>0</v>
      </c>
    </row>
    <row r="703" spans="1:12" ht="15">
      <c r="A703" s="114" t="s">
        <v>1739</v>
      </c>
      <c r="B703" s="114" t="s">
        <v>1759</v>
      </c>
      <c r="C703" s="114">
        <v>2</v>
      </c>
      <c r="D703" s="116">
        <v>0.0005352281502286346</v>
      </c>
      <c r="E703" s="116">
        <v>0.013589004350425364</v>
      </c>
      <c r="F703" s="114" t="s">
        <v>2559</v>
      </c>
      <c r="G703" s="114" t="b">
        <v>0</v>
      </c>
      <c r="H703" s="114" t="b">
        <v>0</v>
      </c>
      <c r="I703" s="114" t="b">
        <v>0</v>
      </c>
      <c r="J703" s="114" t="b">
        <v>0</v>
      </c>
      <c r="K703" s="114" t="b">
        <v>0</v>
      </c>
      <c r="L703" s="114" t="b">
        <v>0</v>
      </c>
    </row>
    <row r="704" spans="1:12" ht="15">
      <c r="A704" s="114" t="s">
        <v>1973</v>
      </c>
      <c r="B704" s="114" t="s">
        <v>1762</v>
      </c>
      <c r="C704" s="114">
        <v>2</v>
      </c>
      <c r="D704" s="116">
        <v>0.0005352281502286346</v>
      </c>
      <c r="E704" s="116">
        <v>2.04543637160242</v>
      </c>
      <c r="F704" s="114" t="s">
        <v>2559</v>
      </c>
      <c r="G704" s="114" t="b">
        <v>0</v>
      </c>
      <c r="H704" s="114" t="b">
        <v>0</v>
      </c>
      <c r="I704" s="114" t="b">
        <v>0</v>
      </c>
      <c r="J704" s="114" t="b">
        <v>0</v>
      </c>
      <c r="K704" s="114" t="b">
        <v>0</v>
      </c>
      <c r="L704" s="114" t="b">
        <v>0</v>
      </c>
    </row>
    <row r="705" spans="1:12" ht="15">
      <c r="A705" s="114" t="s">
        <v>1747</v>
      </c>
      <c r="B705" s="114" t="s">
        <v>1762</v>
      </c>
      <c r="C705" s="114">
        <v>2</v>
      </c>
      <c r="D705" s="116">
        <v>0.0005352281502286346</v>
      </c>
      <c r="E705" s="116">
        <v>0.9314930192955833</v>
      </c>
      <c r="F705" s="114" t="s">
        <v>2559</v>
      </c>
      <c r="G705" s="114" t="b">
        <v>0</v>
      </c>
      <c r="H705" s="114" t="b">
        <v>0</v>
      </c>
      <c r="I705" s="114" t="b">
        <v>0</v>
      </c>
      <c r="J705" s="114" t="b">
        <v>0</v>
      </c>
      <c r="K705" s="114" t="b">
        <v>0</v>
      </c>
      <c r="L705" s="114" t="b">
        <v>0</v>
      </c>
    </row>
    <row r="706" spans="1:12" ht="15">
      <c r="A706" s="114" t="s">
        <v>1819</v>
      </c>
      <c r="B706" s="114" t="s">
        <v>1819</v>
      </c>
      <c r="C706" s="114">
        <v>2</v>
      </c>
      <c r="D706" s="116">
        <v>0.0005352281502286346</v>
      </c>
      <c r="E706" s="116">
        <v>1.8930593866471805</v>
      </c>
      <c r="F706" s="114" t="s">
        <v>2559</v>
      </c>
      <c r="G706" s="114" t="b">
        <v>0</v>
      </c>
      <c r="H706" s="114" t="b">
        <v>0</v>
      </c>
      <c r="I706" s="114" t="b">
        <v>0</v>
      </c>
      <c r="J706" s="114" t="b">
        <v>0</v>
      </c>
      <c r="K706" s="114" t="b">
        <v>0</v>
      </c>
      <c r="L706" s="114" t="b">
        <v>0</v>
      </c>
    </row>
    <row r="707" spans="1:12" ht="15">
      <c r="A707" s="114" t="s">
        <v>1842</v>
      </c>
      <c r="B707" s="114" t="s">
        <v>1739</v>
      </c>
      <c r="C707" s="114">
        <v>2</v>
      </c>
      <c r="D707" s="116">
        <v>0.0005352281502286346</v>
      </c>
      <c r="E707" s="116">
        <v>0.502268419764807</v>
      </c>
      <c r="F707" s="114" t="s">
        <v>2559</v>
      </c>
      <c r="G707" s="114" t="b">
        <v>0</v>
      </c>
      <c r="H707" s="114" t="b">
        <v>0</v>
      </c>
      <c r="I707" s="114" t="b">
        <v>0</v>
      </c>
      <c r="J707" s="114" t="b">
        <v>0</v>
      </c>
      <c r="K707" s="114" t="b">
        <v>0</v>
      </c>
      <c r="L707" s="114" t="b">
        <v>0</v>
      </c>
    </row>
    <row r="708" spans="1:12" ht="15">
      <c r="A708" s="114" t="s">
        <v>2394</v>
      </c>
      <c r="B708" s="114" t="s">
        <v>2087</v>
      </c>
      <c r="C708" s="114">
        <v>2</v>
      </c>
      <c r="D708" s="116">
        <v>0.0005352281502286346</v>
      </c>
      <c r="E708" s="116">
        <v>3.4071642076200126</v>
      </c>
      <c r="F708" s="114" t="s">
        <v>2559</v>
      </c>
      <c r="G708" s="114" t="b">
        <v>0</v>
      </c>
      <c r="H708" s="114" t="b">
        <v>0</v>
      </c>
      <c r="I708" s="114" t="b">
        <v>0</v>
      </c>
      <c r="J708" s="114" t="b">
        <v>0</v>
      </c>
      <c r="K708" s="114" t="b">
        <v>0</v>
      </c>
      <c r="L708" s="114" t="b">
        <v>0</v>
      </c>
    </row>
    <row r="709" spans="1:12" ht="15">
      <c r="A709" s="114" t="s">
        <v>2087</v>
      </c>
      <c r="B709" s="114" t="s">
        <v>1942</v>
      </c>
      <c r="C709" s="114">
        <v>2</v>
      </c>
      <c r="D709" s="116">
        <v>0.0005352281502286346</v>
      </c>
      <c r="E709" s="116">
        <v>2.8630961632697374</v>
      </c>
      <c r="F709" s="114" t="s">
        <v>2559</v>
      </c>
      <c r="G709" s="114" t="b">
        <v>0</v>
      </c>
      <c r="H709" s="114" t="b">
        <v>0</v>
      </c>
      <c r="I709" s="114" t="b">
        <v>0</v>
      </c>
      <c r="J709" s="114" t="b">
        <v>0</v>
      </c>
      <c r="K709" s="114" t="b">
        <v>0</v>
      </c>
      <c r="L709" s="114" t="b">
        <v>0</v>
      </c>
    </row>
    <row r="710" spans="1:12" ht="15">
      <c r="A710" s="114" t="s">
        <v>2038</v>
      </c>
      <c r="B710" s="114" t="s">
        <v>1739</v>
      </c>
      <c r="C710" s="114">
        <v>2</v>
      </c>
      <c r="D710" s="116">
        <v>0.0005352281502286346</v>
      </c>
      <c r="E710" s="116">
        <v>0.9002084284368445</v>
      </c>
      <c r="F710" s="114" t="s">
        <v>2559</v>
      </c>
      <c r="G710" s="114" t="b">
        <v>0</v>
      </c>
      <c r="H710" s="114" t="b">
        <v>1</v>
      </c>
      <c r="I710" s="114" t="b">
        <v>0</v>
      </c>
      <c r="J710" s="114" t="b">
        <v>0</v>
      </c>
      <c r="K710" s="114" t="b">
        <v>0</v>
      </c>
      <c r="L710" s="114" t="b">
        <v>0</v>
      </c>
    </row>
    <row r="711" spans="1:12" ht="15">
      <c r="A711" s="114" t="s">
        <v>1739</v>
      </c>
      <c r="B711" s="114" t="s">
        <v>2211</v>
      </c>
      <c r="C711" s="114">
        <v>2</v>
      </c>
      <c r="D711" s="116">
        <v>0.0005352281502286346</v>
      </c>
      <c r="E711" s="116">
        <v>1.0135890043504254</v>
      </c>
      <c r="F711" s="114" t="s">
        <v>2559</v>
      </c>
      <c r="G711" s="114" t="b">
        <v>0</v>
      </c>
      <c r="H711" s="114" t="b">
        <v>0</v>
      </c>
      <c r="I711" s="114" t="b">
        <v>0</v>
      </c>
      <c r="J711" s="114" t="b">
        <v>0</v>
      </c>
      <c r="K711" s="114" t="b">
        <v>0</v>
      </c>
      <c r="L711" s="114" t="b">
        <v>0</v>
      </c>
    </row>
    <row r="712" spans="1:12" ht="15">
      <c r="A712" s="114" t="s">
        <v>2211</v>
      </c>
      <c r="B712" s="114" t="s">
        <v>1739</v>
      </c>
      <c r="C712" s="114">
        <v>2</v>
      </c>
      <c r="D712" s="116">
        <v>0.0005352281502286346</v>
      </c>
      <c r="E712" s="116">
        <v>1.0251471650451445</v>
      </c>
      <c r="F712" s="114" t="s">
        <v>2559</v>
      </c>
      <c r="G712" s="114" t="b">
        <v>0</v>
      </c>
      <c r="H712" s="114" t="b">
        <v>0</v>
      </c>
      <c r="I712" s="114" t="b">
        <v>0</v>
      </c>
      <c r="J712" s="114" t="b">
        <v>0</v>
      </c>
      <c r="K712" s="114" t="b">
        <v>0</v>
      </c>
      <c r="L712" s="114" t="b">
        <v>0</v>
      </c>
    </row>
    <row r="713" spans="1:12" ht="15">
      <c r="A713" s="114" t="s">
        <v>1744</v>
      </c>
      <c r="B713" s="114" t="s">
        <v>1825</v>
      </c>
      <c r="C713" s="114">
        <v>2</v>
      </c>
      <c r="D713" s="116">
        <v>0.0005352281502286346</v>
      </c>
      <c r="E713" s="116">
        <v>1.03794835020987</v>
      </c>
      <c r="F713" s="114" t="s">
        <v>2559</v>
      </c>
      <c r="G713" s="114" t="b">
        <v>0</v>
      </c>
      <c r="H713" s="114" t="b">
        <v>0</v>
      </c>
      <c r="I713" s="114" t="b">
        <v>0</v>
      </c>
      <c r="J713" s="114" t="b">
        <v>0</v>
      </c>
      <c r="K713" s="114" t="b">
        <v>0</v>
      </c>
      <c r="L713" s="114" t="b">
        <v>0</v>
      </c>
    </row>
    <row r="714" spans="1:12" ht="15">
      <c r="A714" s="114" t="s">
        <v>1819</v>
      </c>
      <c r="B714" s="114" t="s">
        <v>1759</v>
      </c>
      <c r="C714" s="114">
        <v>2</v>
      </c>
      <c r="D714" s="116">
        <v>0.0005352281502286346</v>
      </c>
      <c r="E714" s="116">
        <v>1.5620661676057561</v>
      </c>
      <c r="F714" s="114" t="s">
        <v>2559</v>
      </c>
      <c r="G714" s="114" t="b">
        <v>0</v>
      </c>
      <c r="H714" s="114" t="b">
        <v>0</v>
      </c>
      <c r="I714" s="114" t="b">
        <v>0</v>
      </c>
      <c r="J714" s="114" t="b">
        <v>0</v>
      </c>
      <c r="K714" s="114" t="b">
        <v>0</v>
      </c>
      <c r="L714" s="114" t="b">
        <v>0</v>
      </c>
    </row>
    <row r="715" spans="1:12" ht="15">
      <c r="A715" s="114" t="s">
        <v>1740</v>
      </c>
      <c r="B715" s="114" t="s">
        <v>1762</v>
      </c>
      <c r="C715" s="114">
        <v>2</v>
      </c>
      <c r="D715" s="116">
        <v>0.0005352281502286346</v>
      </c>
      <c r="E715" s="116">
        <v>0.2624862383370076</v>
      </c>
      <c r="F715" s="114" t="s">
        <v>2559</v>
      </c>
      <c r="G715" s="114" t="b">
        <v>0</v>
      </c>
      <c r="H715" s="114" t="b">
        <v>0</v>
      </c>
      <c r="I715" s="114" t="b">
        <v>0</v>
      </c>
      <c r="J715" s="114" t="b">
        <v>0</v>
      </c>
      <c r="K715" s="114" t="b">
        <v>0</v>
      </c>
      <c r="L715" s="114" t="b">
        <v>0</v>
      </c>
    </row>
    <row r="716" spans="1:12" ht="15">
      <c r="A716" s="114" t="s">
        <v>1755</v>
      </c>
      <c r="B716" s="114" t="s">
        <v>1761</v>
      </c>
      <c r="C716" s="114">
        <v>2</v>
      </c>
      <c r="D716" s="116">
        <v>0.0005352281502286346</v>
      </c>
      <c r="E716" s="116">
        <v>1.128410606667184</v>
      </c>
      <c r="F716" s="114" t="s">
        <v>2559</v>
      </c>
      <c r="G716" s="114" t="b">
        <v>0</v>
      </c>
      <c r="H716" s="114" t="b">
        <v>0</v>
      </c>
      <c r="I716" s="114" t="b">
        <v>0</v>
      </c>
      <c r="J716" s="114" t="b">
        <v>0</v>
      </c>
      <c r="K716" s="114" t="b">
        <v>0</v>
      </c>
      <c r="L716" s="114" t="b">
        <v>0</v>
      </c>
    </row>
    <row r="717" spans="1:12" ht="15">
      <c r="A717" s="114" t="s">
        <v>1745</v>
      </c>
      <c r="B717" s="114" t="s">
        <v>1747</v>
      </c>
      <c r="C717" s="114">
        <v>2</v>
      </c>
      <c r="D717" s="116">
        <v>0.0005352281502286346</v>
      </c>
      <c r="E717" s="116">
        <v>0.327982961572388</v>
      </c>
      <c r="F717" s="114" t="s">
        <v>2559</v>
      </c>
      <c r="G717" s="114" t="b">
        <v>0</v>
      </c>
      <c r="H717" s="114" t="b">
        <v>0</v>
      </c>
      <c r="I717" s="114" t="b">
        <v>0</v>
      </c>
      <c r="J717" s="114" t="b">
        <v>0</v>
      </c>
      <c r="K717" s="114" t="b">
        <v>0</v>
      </c>
      <c r="L717" s="114" t="b">
        <v>0</v>
      </c>
    </row>
    <row r="718" spans="1:12" ht="15">
      <c r="A718" s="114" t="s">
        <v>1819</v>
      </c>
      <c r="B718" s="114" t="s">
        <v>1762</v>
      </c>
      <c r="C718" s="114">
        <v>2</v>
      </c>
      <c r="D718" s="116">
        <v>0.0006112074525163633</v>
      </c>
      <c r="E718" s="116">
        <v>1.6774595863078257</v>
      </c>
      <c r="F718" s="114" t="s">
        <v>2559</v>
      </c>
      <c r="G718" s="114" t="b">
        <v>0</v>
      </c>
      <c r="H718" s="114" t="b">
        <v>0</v>
      </c>
      <c r="I718" s="114" t="b">
        <v>0</v>
      </c>
      <c r="J718" s="114" t="b">
        <v>0</v>
      </c>
      <c r="K718" s="114" t="b">
        <v>0</v>
      </c>
      <c r="L718" s="114" t="b">
        <v>0</v>
      </c>
    </row>
    <row r="719" spans="1:12" ht="15">
      <c r="A719" s="114" t="s">
        <v>2088</v>
      </c>
      <c r="B719" s="114" t="s">
        <v>1749</v>
      </c>
      <c r="C719" s="114">
        <v>2</v>
      </c>
      <c r="D719" s="116">
        <v>0.0006112074525163633</v>
      </c>
      <c r="E719" s="116">
        <v>1.8350674396694937</v>
      </c>
      <c r="F719" s="114" t="s">
        <v>2559</v>
      </c>
      <c r="G719" s="114" t="b">
        <v>0</v>
      </c>
      <c r="H719" s="114" t="b">
        <v>0</v>
      </c>
      <c r="I719" s="114" t="b">
        <v>0</v>
      </c>
      <c r="J719" s="114" t="b">
        <v>0</v>
      </c>
      <c r="K719" s="114" t="b">
        <v>0</v>
      </c>
      <c r="L719" s="114" t="b">
        <v>0</v>
      </c>
    </row>
    <row r="720" spans="1:12" ht="15">
      <c r="A720" s="114" t="s">
        <v>1742</v>
      </c>
      <c r="B720" s="114" t="s">
        <v>1749</v>
      </c>
      <c r="C720" s="114">
        <v>2</v>
      </c>
      <c r="D720" s="116">
        <v>0.0006112074525163633</v>
      </c>
      <c r="E720" s="116">
        <v>0.06791157358731324</v>
      </c>
      <c r="F720" s="114" t="s">
        <v>2559</v>
      </c>
      <c r="G720" s="114" t="b">
        <v>0</v>
      </c>
      <c r="H720" s="114" t="b">
        <v>0</v>
      </c>
      <c r="I720" s="114" t="b">
        <v>0</v>
      </c>
      <c r="J720" s="114" t="b">
        <v>0</v>
      </c>
      <c r="K720" s="114" t="b">
        <v>0</v>
      </c>
      <c r="L720" s="114" t="b">
        <v>0</v>
      </c>
    </row>
    <row r="721" spans="1:12" ht="15">
      <c r="A721" s="114" t="s">
        <v>1742</v>
      </c>
      <c r="B721" s="114" t="s">
        <v>1987</v>
      </c>
      <c r="C721" s="114">
        <v>2</v>
      </c>
      <c r="D721" s="116">
        <v>0.0005352281502286346</v>
      </c>
      <c r="E721" s="116">
        <v>1.1171295962574948</v>
      </c>
      <c r="F721" s="114" t="s">
        <v>2559</v>
      </c>
      <c r="G721" s="114" t="b">
        <v>0</v>
      </c>
      <c r="H721" s="114" t="b">
        <v>0</v>
      </c>
      <c r="I721" s="114" t="b">
        <v>0</v>
      </c>
      <c r="J721" s="114" t="b">
        <v>0</v>
      </c>
      <c r="K721" s="114" t="b">
        <v>0</v>
      </c>
      <c r="L721" s="114" t="b">
        <v>0</v>
      </c>
    </row>
    <row r="722" spans="1:12" ht="15">
      <c r="A722" s="114" t="s">
        <v>2015</v>
      </c>
      <c r="B722" s="114" t="s">
        <v>1744</v>
      </c>
      <c r="C722" s="114">
        <v>2</v>
      </c>
      <c r="D722" s="116">
        <v>0.0006112074525163633</v>
      </c>
      <c r="E722" s="116">
        <v>1.4693121143688572</v>
      </c>
      <c r="F722" s="114" t="s">
        <v>2559</v>
      </c>
      <c r="G722" s="114" t="b">
        <v>1</v>
      </c>
      <c r="H722" s="114" t="b">
        <v>0</v>
      </c>
      <c r="I722" s="114" t="b">
        <v>0</v>
      </c>
      <c r="J722" s="114" t="b">
        <v>0</v>
      </c>
      <c r="K722" s="114" t="b">
        <v>0</v>
      </c>
      <c r="L722" s="114" t="b">
        <v>0</v>
      </c>
    </row>
    <row r="723" spans="1:12" ht="15">
      <c r="A723" s="114" t="s">
        <v>1744</v>
      </c>
      <c r="B723" s="114" t="s">
        <v>2015</v>
      </c>
      <c r="C723" s="114">
        <v>2</v>
      </c>
      <c r="D723" s="116">
        <v>0.0006112074525163633</v>
      </c>
      <c r="E723" s="116">
        <v>1.452921698180688</v>
      </c>
      <c r="F723" s="114" t="s">
        <v>2559</v>
      </c>
      <c r="G723" s="114" t="b">
        <v>0</v>
      </c>
      <c r="H723" s="114" t="b">
        <v>0</v>
      </c>
      <c r="I723" s="114" t="b">
        <v>0</v>
      </c>
      <c r="J723" s="114" t="b">
        <v>1</v>
      </c>
      <c r="K723" s="114" t="b">
        <v>0</v>
      </c>
      <c r="L723" s="114" t="b">
        <v>0</v>
      </c>
    </row>
    <row r="724" spans="1:12" ht="15">
      <c r="A724" s="114" t="s">
        <v>2405</v>
      </c>
      <c r="B724" s="114" t="s">
        <v>2406</v>
      </c>
      <c r="C724" s="114">
        <v>2</v>
      </c>
      <c r="D724" s="116">
        <v>0.0005352281502286346</v>
      </c>
      <c r="E724" s="116">
        <v>3.583255466675694</v>
      </c>
      <c r="F724" s="114" t="s">
        <v>2559</v>
      </c>
      <c r="G724" s="114" t="b">
        <v>0</v>
      </c>
      <c r="H724" s="114" t="b">
        <v>0</v>
      </c>
      <c r="I724" s="114" t="b">
        <v>0</v>
      </c>
      <c r="J724" s="114" t="b">
        <v>0</v>
      </c>
      <c r="K724" s="114" t="b">
        <v>0</v>
      </c>
      <c r="L724" s="114" t="b">
        <v>0</v>
      </c>
    </row>
    <row r="725" spans="1:12" ht="15">
      <c r="A725" s="114" t="s">
        <v>1852</v>
      </c>
      <c r="B725" s="114" t="s">
        <v>2215</v>
      </c>
      <c r="C725" s="114">
        <v>2</v>
      </c>
      <c r="D725" s="116">
        <v>0.0006112074525163633</v>
      </c>
      <c r="E725" s="116">
        <v>2.666801518125769</v>
      </c>
      <c r="F725" s="114" t="s">
        <v>2559</v>
      </c>
      <c r="G725" s="114" t="b">
        <v>0</v>
      </c>
      <c r="H725" s="114" t="b">
        <v>0</v>
      </c>
      <c r="I725" s="114" t="b">
        <v>0</v>
      </c>
      <c r="J725" s="114" t="b">
        <v>0</v>
      </c>
      <c r="K725" s="114" t="b">
        <v>0</v>
      </c>
      <c r="L725" s="114" t="b">
        <v>0</v>
      </c>
    </row>
    <row r="726" spans="1:12" ht="15">
      <c r="A726" s="114" t="s">
        <v>1924</v>
      </c>
      <c r="B726" s="114" t="s">
        <v>1924</v>
      </c>
      <c r="C726" s="114">
        <v>2</v>
      </c>
      <c r="D726" s="116">
        <v>0.0005352281502286346</v>
      </c>
      <c r="E726" s="116">
        <v>2.583255466675694</v>
      </c>
      <c r="F726" s="114" t="s">
        <v>2559</v>
      </c>
      <c r="G726" s="114" t="b">
        <v>0</v>
      </c>
      <c r="H726" s="114" t="b">
        <v>0</v>
      </c>
      <c r="I726" s="114" t="b">
        <v>0</v>
      </c>
      <c r="J726" s="114" t="b">
        <v>0</v>
      </c>
      <c r="K726" s="114" t="b">
        <v>0</v>
      </c>
      <c r="L726" s="114" t="b">
        <v>0</v>
      </c>
    </row>
    <row r="727" spans="1:12" ht="15">
      <c r="A727" s="114" t="s">
        <v>1924</v>
      </c>
      <c r="B727" s="114" t="s">
        <v>1740</v>
      </c>
      <c r="C727" s="114">
        <v>2</v>
      </c>
      <c r="D727" s="116">
        <v>0.0005352281502286346</v>
      </c>
      <c r="E727" s="116">
        <v>0.7175594067596235</v>
      </c>
      <c r="F727" s="114" t="s">
        <v>2559</v>
      </c>
      <c r="G727" s="114" t="b">
        <v>0</v>
      </c>
      <c r="H727" s="114" t="b">
        <v>0</v>
      </c>
      <c r="I727" s="114" t="b">
        <v>0</v>
      </c>
      <c r="J727" s="114" t="b">
        <v>0</v>
      </c>
      <c r="K727" s="114" t="b">
        <v>0</v>
      </c>
      <c r="L727" s="114" t="b">
        <v>0</v>
      </c>
    </row>
    <row r="728" spans="1:12" ht="15">
      <c r="A728" s="114" t="s">
        <v>2410</v>
      </c>
      <c r="B728" s="114" t="s">
        <v>2411</v>
      </c>
      <c r="C728" s="114">
        <v>2</v>
      </c>
      <c r="D728" s="116">
        <v>0.0005352281502286346</v>
      </c>
      <c r="E728" s="116">
        <v>3.583255466675694</v>
      </c>
      <c r="F728" s="114" t="s">
        <v>2559</v>
      </c>
      <c r="G728" s="114" t="b">
        <v>0</v>
      </c>
      <c r="H728" s="114" t="b">
        <v>0</v>
      </c>
      <c r="I728" s="114" t="b">
        <v>0</v>
      </c>
      <c r="J728" s="114" t="b">
        <v>0</v>
      </c>
      <c r="K728" s="114" t="b">
        <v>0</v>
      </c>
      <c r="L728" s="114" t="b">
        <v>0</v>
      </c>
    </row>
    <row r="729" spans="1:12" ht="15">
      <c r="A729" s="114" t="s">
        <v>1817</v>
      </c>
      <c r="B729" s="114" t="s">
        <v>2412</v>
      </c>
      <c r="C729" s="114">
        <v>2</v>
      </c>
      <c r="D729" s="116">
        <v>0.0005352281502286346</v>
      </c>
      <c r="E729" s="116">
        <v>2.738157426661437</v>
      </c>
      <c r="F729" s="114" t="s">
        <v>2559</v>
      </c>
      <c r="G729" s="114" t="b">
        <v>0</v>
      </c>
      <c r="H729" s="114" t="b">
        <v>0</v>
      </c>
      <c r="I729" s="114" t="b">
        <v>0</v>
      </c>
      <c r="J729" s="114" t="b">
        <v>0</v>
      </c>
      <c r="K729" s="114" t="b">
        <v>0</v>
      </c>
      <c r="L729" s="114" t="b">
        <v>0</v>
      </c>
    </row>
    <row r="730" spans="1:12" ht="15">
      <c r="A730" s="114" t="s">
        <v>1787</v>
      </c>
      <c r="B730" s="114" t="s">
        <v>2413</v>
      </c>
      <c r="C730" s="114">
        <v>2</v>
      </c>
      <c r="D730" s="116">
        <v>0.0005352281502286346</v>
      </c>
      <c r="E730" s="116">
        <v>2.629012957236369</v>
      </c>
      <c r="F730" s="114" t="s">
        <v>2559</v>
      </c>
      <c r="G730" s="114" t="b">
        <v>0</v>
      </c>
      <c r="H730" s="114" t="b">
        <v>0</v>
      </c>
      <c r="I730" s="114" t="b">
        <v>0</v>
      </c>
      <c r="J730" s="114" t="b">
        <v>0</v>
      </c>
      <c r="K730" s="114" t="b">
        <v>0</v>
      </c>
      <c r="L730" s="114" t="b">
        <v>0</v>
      </c>
    </row>
    <row r="731" spans="1:12" ht="15">
      <c r="A731" s="114" t="s">
        <v>2217</v>
      </c>
      <c r="B731" s="114" t="s">
        <v>2218</v>
      </c>
      <c r="C731" s="114">
        <v>2</v>
      </c>
      <c r="D731" s="116">
        <v>0.0006112074525163633</v>
      </c>
      <c r="E731" s="116">
        <v>3.2310729485643317</v>
      </c>
      <c r="F731" s="114" t="s">
        <v>2559</v>
      </c>
      <c r="G731" s="114" t="b">
        <v>0</v>
      </c>
      <c r="H731" s="114" t="b">
        <v>0</v>
      </c>
      <c r="I731" s="114" t="b">
        <v>0</v>
      </c>
      <c r="J731" s="114" t="b">
        <v>0</v>
      </c>
      <c r="K731" s="114" t="b">
        <v>0</v>
      </c>
      <c r="L731" s="114" t="b">
        <v>0</v>
      </c>
    </row>
    <row r="732" spans="1:12" ht="15">
      <c r="A732" s="114" t="s">
        <v>2415</v>
      </c>
      <c r="B732" s="114" t="s">
        <v>2416</v>
      </c>
      <c r="C732" s="114">
        <v>2</v>
      </c>
      <c r="D732" s="116">
        <v>0.0006112074525163633</v>
      </c>
      <c r="E732" s="116">
        <v>3.583255466675694</v>
      </c>
      <c r="F732" s="114" t="s">
        <v>2559</v>
      </c>
      <c r="G732" s="114" t="b">
        <v>0</v>
      </c>
      <c r="H732" s="114" t="b">
        <v>0</v>
      </c>
      <c r="I732" s="114" t="b">
        <v>0</v>
      </c>
      <c r="J732" s="114" t="b">
        <v>1</v>
      </c>
      <c r="K732" s="114" t="b">
        <v>0</v>
      </c>
      <c r="L732" s="114" t="b">
        <v>0</v>
      </c>
    </row>
    <row r="733" spans="1:12" ht="15">
      <c r="A733" s="114" t="s">
        <v>1774</v>
      </c>
      <c r="B733" s="114" t="s">
        <v>1895</v>
      </c>
      <c r="C733" s="114">
        <v>2</v>
      </c>
      <c r="D733" s="116">
        <v>0.0005352281502286346</v>
      </c>
      <c r="E733" s="116">
        <v>1.9758004434610255</v>
      </c>
      <c r="F733" s="114" t="s">
        <v>2559</v>
      </c>
      <c r="G733" s="114" t="b">
        <v>0</v>
      </c>
      <c r="H733" s="114" t="b">
        <v>1</v>
      </c>
      <c r="I733" s="114" t="b">
        <v>0</v>
      </c>
      <c r="J733" s="114" t="b">
        <v>0</v>
      </c>
      <c r="K733" s="114" t="b">
        <v>0</v>
      </c>
      <c r="L733" s="114" t="b">
        <v>0</v>
      </c>
    </row>
    <row r="734" spans="1:12" ht="15">
      <c r="A734" s="114" t="s">
        <v>2422</v>
      </c>
      <c r="B734" s="114" t="s">
        <v>1925</v>
      </c>
      <c r="C734" s="114">
        <v>2</v>
      </c>
      <c r="D734" s="116">
        <v>0.0005352281502286346</v>
      </c>
      <c r="E734" s="116">
        <v>3.0391874223254183</v>
      </c>
      <c r="F734" s="114" t="s">
        <v>2559</v>
      </c>
      <c r="G734" s="114" t="b">
        <v>0</v>
      </c>
      <c r="H734" s="114" t="b">
        <v>0</v>
      </c>
      <c r="I734" s="114" t="b">
        <v>0</v>
      </c>
      <c r="J734" s="114" t="b">
        <v>0</v>
      </c>
      <c r="K734" s="114" t="b">
        <v>0</v>
      </c>
      <c r="L734" s="114" t="b">
        <v>0</v>
      </c>
    </row>
    <row r="735" spans="1:12" ht="15">
      <c r="A735" s="114" t="s">
        <v>1827</v>
      </c>
      <c r="B735" s="114" t="s">
        <v>1759</v>
      </c>
      <c r="C735" s="114">
        <v>2</v>
      </c>
      <c r="D735" s="116">
        <v>0.0005352281502286346</v>
      </c>
      <c r="E735" s="116">
        <v>1.6290129572363694</v>
      </c>
      <c r="F735" s="114" t="s">
        <v>2559</v>
      </c>
      <c r="G735" s="114" t="b">
        <v>0</v>
      </c>
      <c r="H735" s="114" t="b">
        <v>0</v>
      </c>
      <c r="I735" s="114" t="b">
        <v>0</v>
      </c>
      <c r="J735" s="114" t="b">
        <v>0</v>
      </c>
      <c r="K735" s="114" t="b">
        <v>0</v>
      </c>
      <c r="L735" s="114" t="b">
        <v>0</v>
      </c>
    </row>
    <row r="736" spans="1:12" ht="15">
      <c r="A736" s="114" t="s">
        <v>2177</v>
      </c>
      <c r="B736" s="114" t="s">
        <v>2092</v>
      </c>
      <c r="C736" s="114">
        <v>2</v>
      </c>
      <c r="D736" s="116">
        <v>0.0005352281502286346</v>
      </c>
      <c r="E736" s="116">
        <v>3.2822254710117127</v>
      </c>
      <c r="F736" s="114" t="s">
        <v>2559</v>
      </c>
      <c r="G736" s="114" t="b">
        <v>0</v>
      </c>
      <c r="H736" s="114" t="b">
        <v>0</v>
      </c>
      <c r="I736" s="114" t="b">
        <v>0</v>
      </c>
      <c r="J736" s="114" t="b">
        <v>1</v>
      </c>
      <c r="K736" s="114" t="b">
        <v>0</v>
      </c>
      <c r="L736" s="114" t="b">
        <v>0</v>
      </c>
    </row>
    <row r="737" spans="1:12" ht="15">
      <c r="A737" s="114" t="s">
        <v>2092</v>
      </c>
      <c r="B737" s="114" t="s">
        <v>1925</v>
      </c>
      <c r="C737" s="114">
        <v>2</v>
      </c>
      <c r="D737" s="116">
        <v>0.0005352281502286346</v>
      </c>
      <c r="E737" s="116">
        <v>2.738157426661437</v>
      </c>
      <c r="F737" s="114" t="s">
        <v>2559</v>
      </c>
      <c r="G737" s="114" t="b">
        <v>1</v>
      </c>
      <c r="H737" s="114" t="b">
        <v>0</v>
      </c>
      <c r="I737" s="114" t="b">
        <v>0</v>
      </c>
      <c r="J737" s="114" t="b">
        <v>0</v>
      </c>
      <c r="K737" s="114" t="b">
        <v>0</v>
      </c>
      <c r="L737" s="114" t="b">
        <v>0</v>
      </c>
    </row>
    <row r="738" spans="1:12" ht="15">
      <c r="A738" s="114" t="s">
        <v>1770</v>
      </c>
      <c r="B738" s="114" t="s">
        <v>1925</v>
      </c>
      <c r="C738" s="114">
        <v>2</v>
      </c>
      <c r="D738" s="116">
        <v>0.0005352281502286346</v>
      </c>
      <c r="E738" s="116">
        <v>1.942277409317362</v>
      </c>
      <c r="F738" s="114" t="s">
        <v>2559</v>
      </c>
      <c r="G738" s="114" t="b">
        <v>0</v>
      </c>
      <c r="H738" s="114" t="b">
        <v>0</v>
      </c>
      <c r="I738" s="114" t="b">
        <v>0</v>
      </c>
      <c r="J738" s="114" t="b">
        <v>0</v>
      </c>
      <c r="K738" s="114" t="b">
        <v>0</v>
      </c>
      <c r="L738" s="114" t="b">
        <v>0</v>
      </c>
    </row>
    <row r="739" spans="1:12" ht="15">
      <c r="A739" s="114" t="s">
        <v>1926</v>
      </c>
      <c r="B739" s="114" t="s">
        <v>1770</v>
      </c>
      <c r="C739" s="114">
        <v>2</v>
      </c>
      <c r="D739" s="116">
        <v>0.0005352281502286346</v>
      </c>
      <c r="E739" s="116">
        <v>1.8842854623396754</v>
      </c>
      <c r="F739" s="114" t="s">
        <v>2559</v>
      </c>
      <c r="G739" s="114" t="b">
        <v>0</v>
      </c>
      <c r="H739" s="114" t="b">
        <v>0</v>
      </c>
      <c r="I739" s="114" t="b">
        <v>0</v>
      </c>
      <c r="J739" s="114" t="b">
        <v>0</v>
      </c>
      <c r="K739" s="114" t="b">
        <v>0</v>
      </c>
      <c r="L739" s="114" t="b">
        <v>0</v>
      </c>
    </row>
    <row r="740" spans="1:12" ht="15">
      <c r="A740" s="114" t="s">
        <v>1830</v>
      </c>
      <c r="B740" s="114" t="s">
        <v>2425</v>
      </c>
      <c r="C740" s="114">
        <v>2</v>
      </c>
      <c r="D740" s="116">
        <v>0.0005352281502286346</v>
      </c>
      <c r="E740" s="116">
        <v>2.7703421100328383</v>
      </c>
      <c r="F740" s="114" t="s">
        <v>2559</v>
      </c>
      <c r="G740" s="114" t="b">
        <v>0</v>
      </c>
      <c r="H740" s="114" t="b">
        <v>0</v>
      </c>
      <c r="I740" s="114" t="b">
        <v>0</v>
      </c>
      <c r="J740" s="114" t="b">
        <v>0</v>
      </c>
      <c r="K740" s="114" t="b">
        <v>0</v>
      </c>
      <c r="L740" s="114" t="b">
        <v>0</v>
      </c>
    </row>
    <row r="741" spans="1:12" ht="15">
      <c r="A741" s="114" t="s">
        <v>2425</v>
      </c>
      <c r="B741" s="114" t="s">
        <v>2426</v>
      </c>
      <c r="C741" s="114">
        <v>2</v>
      </c>
      <c r="D741" s="116">
        <v>0.0005352281502286346</v>
      </c>
      <c r="E741" s="116">
        <v>3.583255466675694</v>
      </c>
      <c r="F741" s="114" t="s">
        <v>2559</v>
      </c>
      <c r="G741" s="114" t="b">
        <v>0</v>
      </c>
      <c r="H741" s="114" t="b">
        <v>0</v>
      </c>
      <c r="I741" s="114" t="b">
        <v>0</v>
      </c>
      <c r="J741" s="114" t="b">
        <v>0</v>
      </c>
      <c r="K741" s="114" t="b">
        <v>0</v>
      </c>
      <c r="L741" s="114" t="b">
        <v>0</v>
      </c>
    </row>
    <row r="742" spans="1:12" ht="15">
      <c r="A742" s="114" t="s">
        <v>2426</v>
      </c>
      <c r="B742" s="114" t="s">
        <v>2427</v>
      </c>
      <c r="C742" s="114">
        <v>2</v>
      </c>
      <c r="D742" s="116">
        <v>0.0005352281502286346</v>
      </c>
      <c r="E742" s="116">
        <v>3.583255466675694</v>
      </c>
      <c r="F742" s="114" t="s">
        <v>2559</v>
      </c>
      <c r="G742" s="114" t="b">
        <v>0</v>
      </c>
      <c r="H742" s="114" t="b">
        <v>0</v>
      </c>
      <c r="I742" s="114" t="b">
        <v>0</v>
      </c>
      <c r="J742" s="114" t="b">
        <v>0</v>
      </c>
      <c r="K742" s="114" t="b">
        <v>0</v>
      </c>
      <c r="L742" s="114" t="b">
        <v>0</v>
      </c>
    </row>
    <row r="743" spans="1:12" ht="15">
      <c r="A743" s="114" t="s">
        <v>2428</v>
      </c>
      <c r="B743" s="114" t="s">
        <v>2429</v>
      </c>
      <c r="C743" s="114">
        <v>2</v>
      </c>
      <c r="D743" s="116">
        <v>0.0005352281502286346</v>
      </c>
      <c r="E743" s="116">
        <v>3.583255466675694</v>
      </c>
      <c r="F743" s="114" t="s">
        <v>2559</v>
      </c>
      <c r="G743" s="114" t="b">
        <v>0</v>
      </c>
      <c r="H743" s="114" t="b">
        <v>0</v>
      </c>
      <c r="I743" s="114" t="b">
        <v>0</v>
      </c>
      <c r="J743" s="114" t="b">
        <v>0</v>
      </c>
      <c r="K743" s="114" t="b">
        <v>0</v>
      </c>
      <c r="L743" s="114" t="b">
        <v>0</v>
      </c>
    </row>
    <row r="744" spans="1:12" ht="15">
      <c r="A744" s="114" t="s">
        <v>1880</v>
      </c>
      <c r="B744" s="114" t="s">
        <v>1765</v>
      </c>
      <c r="C744" s="114">
        <v>2</v>
      </c>
      <c r="D744" s="116">
        <v>0.0006112074525163633</v>
      </c>
      <c r="E744" s="116">
        <v>1.7703421100328385</v>
      </c>
      <c r="F744" s="114" t="s">
        <v>2559</v>
      </c>
      <c r="G744" s="114" t="b">
        <v>0</v>
      </c>
      <c r="H744" s="114" t="b">
        <v>0</v>
      </c>
      <c r="I744" s="114" t="b">
        <v>0</v>
      </c>
      <c r="J744" s="114" t="b">
        <v>0</v>
      </c>
      <c r="K744" s="114" t="b">
        <v>0</v>
      </c>
      <c r="L744" s="114" t="b">
        <v>0</v>
      </c>
    </row>
    <row r="745" spans="1:12" ht="15">
      <c r="A745" s="114" t="s">
        <v>2223</v>
      </c>
      <c r="B745" s="114" t="s">
        <v>1745</v>
      </c>
      <c r="C745" s="114">
        <v>2</v>
      </c>
      <c r="D745" s="116">
        <v>0.0006112074525163633</v>
      </c>
      <c r="E745" s="116">
        <v>1.753951693844669</v>
      </c>
      <c r="F745" s="114" t="s">
        <v>2559</v>
      </c>
      <c r="G745" s="114" t="b">
        <v>0</v>
      </c>
      <c r="H745" s="114" t="b">
        <v>0</v>
      </c>
      <c r="I745" s="114" t="b">
        <v>0</v>
      </c>
      <c r="J745" s="114" t="b">
        <v>0</v>
      </c>
      <c r="K745" s="114" t="b">
        <v>0</v>
      </c>
      <c r="L745" s="114" t="b">
        <v>0</v>
      </c>
    </row>
    <row r="746" spans="1:12" ht="15">
      <c r="A746" s="114" t="s">
        <v>1745</v>
      </c>
      <c r="B746" s="114" t="s">
        <v>2430</v>
      </c>
      <c r="C746" s="114">
        <v>2</v>
      </c>
      <c r="D746" s="116">
        <v>0.0006112074525163633</v>
      </c>
      <c r="E746" s="116">
        <v>1.9300429529003504</v>
      </c>
      <c r="F746" s="114" t="s">
        <v>2559</v>
      </c>
      <c r="G746" s="114" t="b">
        <v>0</v>
      </c>
      <c r="H746" s="114" t="b">
        <v>0</v>
      </c>
      <c r="I746" s="114" t="b">
        <v>0</v>
      </c>
      <c r="J746" s="114" t="b">
        <v>0</v>
      </c>
      <c r="K746" s="114" t="b">
        <v>0</v>
      </c>
      <c r="L746" s="114" t="b">
        <v>0</v>
      </c>
    </row>
    <row r="747" spans="1:12" ht="15">
      <c r="A747" s="114" t="s">
        <v>1775</v>
      </c>
      <c r="B747" s="114" t="s">
        <v>1812</v>
      </c>
      <c r="C747" s="114">
        <v>2</v>
      </c>
      <c r="D747" s="116">
        <v>0.0005352281502286346</v>
      </c>
      <c r="E747" s="116">
        <v>1.6474963629303825</v>
      </c>
      <c r="F747" s="114" t="s">
        <v>2559</v>
      </c>
      <c r="G747" s="114" t="b">
        <v>0</v>
      </c>
      <c r="H747" s="114" t="b">
        <v>0</v>
      </c>
      <c r="I747" s="114" t="b">
        <v>0</v>
      </c>
      <c r="J747" s="114" t="b">
        <v>0</v>
      </c>
      <c r="K747" s="114" t="b">
        <v>0</v>
      </c>
      <c r="L747" s="114" t="b">
        <v>0</v>
      </c>
    </row>
    <row r="748" spans="1:12" ht="15">
      <c r="A748" s="114" t="s">
        <v>1801</v>
      </c>
      <c r="B748" s="114" t="s">
        <v>1761</v>
      </c>
      <c r="C748" s="114">
        <v>2</v>
      </c>
      <c r="D748" s="116">
        <v>0.0005352281502286346</v>
      </c>
      <c r="E748" s="116">
        <v>1.4777452819057202</v>
      </c>
      <c r="F748" s="114" t="s">
        <v>2559</v>
      </c>
      <c r="G748" s="114" t="b">
        <v>0</v>
      </c>
      <c r="H748" s="114" t="b">
        <v>0</v>
      </c>
      <c r="I748" s="114" t="b">
        <v>0</v>
      </c>
      <c r="J748" s="114" t="b">
        <v>0</v>
      </c>
      <c r="K748" s="114" t="b">
        <v>0</v>
      </c>
      <c r="L748" s="114" t="b">
        <v>0</v>
      </c>
    </row>
    <row r="749" spans="1:12" ht="15">
      <c r="A749" s="114" t="s">
        <v>1745</v>
      </c>
      <c r="B749" s="114" t="s">
        <v>1761</v>
      </c>
      <c r="C749" s="114">
        <v>2</v>
      </c>
      <c r="D749" s="116">
        <v>0.0005352281502286346</v>
      </c>
      <c r="E749" s="116">
        <v>0.7539516938446692</v>
      </c>
      <c r="F749" s="114" t="s">
        <v>2559</v>
      </c>
      <c r="G749" s="114" t="b">
        <v>0</v>
      </c>
      <c r="H749" s="114" t="b">
        <v>0</v>
      </c>
      <c r="I749" s="114" t="b">
        <v>0</v>
      </c>
      <c r="J749" s="114" t="b">
        <v>0</v>
      </c>
      <c r="K749" s="114" t="b">
        <v>0</v>
      </c>
      <c r="L749" s="114" t="b">
        <v>0</v>
      </c>
    </row>
    <row r="750" spans="1:12" ht="15">
      <c r="A750" s="114" t="s">
        <v>2431</v>
      </c>
      <c r="B750" s="114" t="s">
        <v>1888</v>
      </c>
      <c r="C750" s="114">
        <v>2</v>
      </c>
      <c r="D750" s="116">
        <v>0.0006112074525163633</v>
      </c>
      <c r="E750" s="116">
        <v>2.9300429529003504</v>
      </c>
      <c r="F750" s="114" t="s">
        <v>2559</v>
      </c>
      <c r="G750" s="114" t="b">
        <v>0</v>
      </c>
      <c r="H750" s="114" t="b">
        <v>0</v>
      </c>
      <c r="I750" s="114" t="b">
        <v>0</v>
      </c>
      <c r="J750" s="114" t="b">
        <v>0</v>
      </c>
      <c r="K750" s="114" t="b">
        <v>0</v>
      </c>
      <c r="L750" s="114" t="b">
        <v>0</v>
      </c>
    </row>
    <row r="751" spans="1:12" ht="15">
      <c r="A751" s="114" t="s">
        <v>1975</v>
      </c>
      <c r="B751" s="114" t="s">
        <v>2433</v>
      </c>
      <c r="C751" s="114">
        <v>2</v>
      </c>
      <c r="D751" s="116">
        <v>0.0006112074525163633</v>
      </c>
      <c r="E751" s="116">
        <v>3.106134211956032</v>
      </c>
      <c r="F751" s="114" t="s">
        <v>2559</v>
      </c>
      <c r="G751" s="114" t="b">
        <v>0</v>
      </c>
      <c r="H751" s="114" t="b">
        <v>0</v>
      </c>
      <c r="I751" s="114" t="b">
        <v>0</v>
      </c>
      <c r="J751" s="114" t="b">
        <v>0</v>
      </c>
      <c r="K751" s="114" t="b">
        <v>0</v>
      </c>
      <c r="L751" s="114" t="b">
        <v>0</v>
      </c>
    </row>
    <row r="752" spans="1:12" ht="15">
      <c r="A752" s="114" t="s">
        <v>2227</v>
      </c>
      <c r="B752" s="114" t="s">
        <v>1770</v>
      </c>
      <c r="C752" s="114">
        <v>2</v>
      </c>
      <c r="D752" s="116">
        <v>0.0006112074525163633</v>
      </c>
      <c r="E752" s="116">
        <v>2.3102541946119564</v>
      </c>
      <c r="F752" s="114" t="s">
        <v>2559</v>
      </c>
      <c r="G752" s="114" t="b">
        <v>0</v>
      </c>
      <c r="H752" s="114" t="b">
        <v>0</v>
      </c>
      <c r="I752" s="114" t="b">
        <v>0</v>
      </c>
      <c r="J752" s="114" t="b">
        <v>0</v>
      </c>
      <c r="K752" s="114" t="b">
        <v>0</v>
      </c>
      <c r="L752" s="114" t="b">
        <v>0</v>
      </c>
    </row>
    <row r="753" spans="1:12" ht="15">
      <c r="A753" s="114" t="s">
        <v>1745</v>
      </c>
      <c r="B753" s="114" t="s">
        <v>2435</v>
      </c>
      <c r="C753" s="114">
        <v>2</v>
      </c>
      <c r="D753" s="116">
        <v>0.0006112074525163633</v>
      </c>
      <c r="E753" s="116">
        <v>1.9300429529003504</v>
      </c>
      <c r="F753" s="114" t="s">
        <v>2559</v>
      </c>
      <c r="G753" s="114" t="b">
        <v>0</v>
      </c>
      <c r="H753" s="114" t="b">
        <v>0</v>
      </c>
      <c r="I753" s="114" t="b">
        <v>0</v>
      </c>
      <c r="J753" s="114" t="b">
        <v>0</v>
      </c>
      <c r="K753" s="114" t="b">
        <v>0</v>
      </c>
      <c r="L753" s="114" t="b">
        <v>0</v>
      </c>
    </row>
    <row r="754" spans="1:12" ht="15">
      <c r="A754" s="114" t="s">
        <v>2228</v>
      </c>
      <c r="B754" s="114" t="s">
        <v>1950</v>
      </c>
      <c r="C754" s="114">
        <v>2</v>
      </c>
      <c r="D754" s="116">
        <v>0.0006112074525163633</v>
      </c>
      <c r="E754" s="116">
        <v>2.8630961632697374</v>
      </c>
      <c r="F754" s="114" t="s">
        <v>2559</v>
      </c>
      <c r="G754" s="114" t="b">
        <v>0</v>
      </c>
      <c r="H754" s="114" t="b">
        <v>0</v>
      </c>
      <c r="I754" s="114" t="b">
        <v>0</v>
      </c>
      <c r="J754" s="114" t="b">
        <v>0</v>
      </c>
      <c r="K754" s="114" t="b">
        <v>0</v>
      </c>
      <c r="L754" s="114" t="b">
        <v>0</v>
      </c>
    </row>
    <row r="755" spans="1:12" ht="15">
      <c r="A755" s="114" t="s">
        <v>2438</v>
      </c>
      <c r="B755" s="114" t="s">
        <v>2094</v>
      </c>
      <c r="C755" s="114">
        <v>2</v>
      </c>
      <c r="D755" s="116">
        <v>0.0006112074525163633</v>
      </c>
      <c r="E755" s="116">
        <v>3.4071642076200126</v>
      </c>
      <c r="F755" s="114" t="s">
        <v>2559</v>
      </c>
      <c r="G755" s="114" t="b">
        <v>0</v>
      </c>
      <c r="H755" s="114" t="b">
        <v>0</v>
      </c>
      <c r="I755" s="114" t="b">
        <v>0</v>
      </c>
      <c r="J755" s="114" t="b">
        <v>0</v>
      </c>
      <c r="K755" s="114" t="b">
        <v>0</v>
      </c>
      <c r="L755" s="114" t="b">
        <v>0</v>
      </c>
    </row>
    <row r="756" spans="1:12" ht="15">
      <c r="A756" s="114" t="s">
        <v>1745</v>
      </c>
      <c r="B756" s="114" t="s">
        <v>2441</v>
      </c>
      <c r="C756" s="114">
        <v>2</v>
      </c>
      <c r="D756" s="116">
        <v>0.0006112074525163633</v>
      </c>
      <c r="E756" s="116">
        <v>1.9300429529003504</v>
      </c>
      <c r="F756" s="114" t="s">
        <v>2559</v>
      </c>
      <c r="G756" s="114" t="b">
        <v>0</v>
      </c>
      <c r="H756" s="114" t="b">
        <v>0</v>
      </c>
      <c r="I756" s="114" t="b">
        <v>0</v>
      </c>
      <c r="J756" s="114" t="b">
        <v>0</v>
      </c>
      <c r="K756" s="114" t="b">
        <v>0</v>
      </c>
      <c r="L756" s="114" t="b">
        <v>0</v>
      </c>
    </row>
    <row r="757" spans="1:12" ht="15">
      <c r="A757" s="114" t="s">
        <v>1745</v>
      </c>
      <c r="B757" s="114" t="s">
        <v>1740</v>
      </c>
      <c r="C757" s="114">
        <v>2</v>
      </c>
      <c r="D757" s="116">
        <v>0.0006112074525163633</v>
      </c>
      <c r="E757" s="116">
        <v>-0.33359311568775774</v>
      </c>
      <c r="F757" s="114" t="s">
        <v>2559</v>
      </c>
      <c r="G757" s="114" t="b">
        <v>0</v>
      </c>
      <c r="H757" s="114" t="b">
        <v>0</v>
      </c>
      <c r="I757" s="114" t="b">
        <v>0</v>
      </c>
      <c r="J757" s="114" t="b">
        <v>0</v>
      </c>
      <c r="K757" s="114" t="b">
        <v>0</v>
      </c>
      <c r="L757" s="114" t="b">
        <v>0</v>
      </c>
    </row>
    <row r="758" spans="1:12" ht="15">
      <c r="A758" s="114" t="s">
        <v>1745</v>
      </c>
      <c r="B758" s="114" t="s">
        <v>1820</v>
      </c>
      <c r="C758" s="114">
        <v>2</v>
      </c>
      <c r="D758" s="116">
        <v>0.0006112074525163633</v>
      </c>
      <c r="E758" s="116">
        <v>1.1518917025167068</v>
      </c>
      <c r="F758" s="114" t="s">
        <v>2559</v>
      </c>
      <c r="G758" s="114" t="b">
        <v>0</v>
      </c>
      <c r="H758" s="114" t="b">
        <v>0</v>
      </c>
      <c r="I758" s="114" t="b">
        <v>0</v>
      </c>
      <c r="J758" s="114" t="b">
        <v>0</v>
      </c>
      <c r="K758" s="114" t="b">
        <v>0</v>
      </c>
      <c r="L758" s="114" t="b">
        <v>0</v>
      </c>
    </row>
    <row r="759" spans="1:12" ht="15">
      <c r="A759" s="114" t="s">
        <v>1782</v>
      </c>
      <c r="B759" s="114" t="s">
        <v>1745</v>
      </c>
      <c r="C759" s="114">
        <v>2</v>
      </c>
      <c r="D759" s="116">
        <v>0.0006112074525163633</v>
      </c>
      <c r="E759" s="116">
        <v>0.9523193476115027</v>
      </c>
      <c r="F759" s="114" t="s">
        <v>2559</v>
      </c>
      <c r="G759" s="114" t="b">
        <v>0</v>
      </c>
      <c r="H759" s="114" t="b">
        <v>0</v>
      </c>
      <c r="I759" s="114" t="b">
        <v>0</v>
      </c>
      <c r="J759" s="114" t="b">
        <v>0</v>
      </c>
      <c r="K759" s="114" t="b">
        <v>0</v>
      </c>
      <c r="L759" s="114" t="b">
        <v>0</v>
      </c>
    </row>
    <row r="760" spans="1:12" ht="15">
      <c r="A760" s="114" t="s">
        <v>1764</v>
      </c>
      <c r="B760" s="114" t="s">
        <v>2445</v>
      </c>
      <c r="C760" s="114">
        <v>2</v>
      </c>
      <c r="D760" s="116">
        <v>0.0006112074525163633</v>
      </c>
      <c r="E760" s="116">
        <v>2.452921698180688</v>
      </c>
      <c r="F760" s="114" t="s">
        <v>2559</v>
      </c>
      <c r="G760" s="114" t="b">
        <v>0</v>
      </c>
      <c r="H760" s="114" t="b">
        <v>0</v>
      </c>
      <c r="I760" s="114" t="b">
        <v>0</v>
      </c>
      <c r="J760" s="114" t="b">
        <v>1</v>
      </c>
      <c r="K760" s="114" t="b">
        <v>0</v>
      </c>
      <c r="L760" s="114" t="b">
        <v>0</v>
      </c>
    </row>
    <row r="761" spans="1:12" ht="15">
      <c r="A761" s="114" t="s">
        <v>2446</v>
      </c>
      <c r="B761" s="114" t="s">
        <v>2447</v>
      </c>
      <c r="C761" s="114">
        <v>2</v>
      </c>
      <c r="D761" s="116">
        <v>0.0006112074525163633</v>
      </c>
      <c r="E761" s="116">
        <v>3.583255466675694</v>
      </c>
      <c r="F761" s="114" t="s">
        <v>2559</v>
      </c>
      <c r="G761" s="114" t="b">
        <v>0</v>
      </c>
      <c r="H761" s="114" t="b">
        <v>0</v>
      </c>
      <c r="I761" s="114" t="b">
        <v>0</v>
      </c>
      <c r="J761" s="114" t="b">
        <v>0</v>
      </c>
      <c r="K761" s="114" t="b">
        <v>0</v>
      </c>
      <c r="L761" s="114" t="b">
        <v>0</v>
      </c>
    </row>
    <row r="762" spans="1:12" ht="15">
      <c r="A762" s="114" t="s">
        <v>2447</v>
      </c>
      <c r="B762" s="114" t="s">
        <v>1745</v>
      </c>
      <c r="C762" s="114">
        <v>2</v>
      </c>
      <c r="D762" s="116">
        <v>0.0006112074525163633</v>
      </c>
      <c r="E762" s="116">
        <v>1.9300429529003504</v>
      </c>
      <c r="F762" s="114" t="s">
        <v>2559</v>
      </c>
      <c r="G762" s="114" t="b">
        <v>0</v>
      </c>
      <c r="H762" s="114" t="b">
        <v>0</v>
      </c>
      <c r="I762" s="114" t="b">
        <v>0</v>
      </c>
      <c r="J762" s="114" t="b">
        <v>0</v>
      </c>
      <c r="K762" s="114" t="b">
        <v>0</v>
      </c>
      <c r="L762" s="114" t="b">
        <v>0</v>
      </c>
    </row>
    <row r="763" spans="1:12" ht="15">
      <c r="A763" s="114" t="s">
        <v>1745</v>
      </c>
      <c r="B763" s="114" t="s">
        <v>1882</v>
      </c>
      <c r="C763" s="114">
        <v>2</v>
      </c>
      <c r="D763" s="116">
        <v>0.0006112074525163633</v>
      </c>
      <c r="E763" s="116">
        <v>1.2310729485643317</v>
      </c>
      <c r="F763" s="114" t="s">
        <v>2559</v>
      </c>
      <c r="G763" s="114" t="b">
        <v>0</v>
      </c>
      <c r="H763" s="114" t="b">
        <v>0</v>
      </c>
      <c r="I763" s="114" t="b">
        <v>0</v>
      </c>
      <c r="J763" s="114" t="b">
        <v>0</v>
      </c>
      <c r="K763" s="114" t="b">
        <v>0</v>
      </c>
      <c r="L763" s="114" t="b">
        <v>0</v>
      </c>
    </row>
    <row r="764" spans="1:12" ht="15">
      <c r="A764" s="114" t="s">
        <v>1882</v>
      </c>
      <c r="B764" s="114" t="s">
        <v>1745</v>
      </c>
      <c r="C764" s="114">
        <v>2</v>
      </c>
      <c r="D764" s="116">
        <v>0.0006112074525163633</v>
      </c>
      <c r="E764" s="116">
        <v>1.2310729485643317</v>
      </c>
      <c r="F764" s="114" t="s">
        <v>2559</v>
      </c>
      <c r="G764" s="114" t="b">
        <v>0</v>
      </c>
      <c r="H764" s="114" t="b">
        <v>0</v>
      </c>
      <c r="I764" s="114" t="b">
        <v>0</v>
      </c>
      <c r="J764" s="114" t="b">
        <v>0</v>
      </c>
      <c r="K764" s="114" t="b">
        <v>0</v>
      </c>
      <c r="L764" s="114" t="b">
        <v>0</v>
      </c>
    </row>
    <row r="765" spans="1:12" ht="15">
      <c r="A765" s="114" t="s">
        <v>1882</v>
      </c>
      <c r="B765" s="114" t="s">
        <v>2096</v>
      </c>
      <c r="C765" s="114">
        <v>2</v>
      </c>
      <c r="D765" s="116">
        <v>0.0005352281502286346</v>
      </c>
      <c r="E765" s="116">
        <v>2.583255466675694</v>
      </c>
      <c r="F765" s="114" t="s">
        <v>2559</v>
      </c>
      <c r="G765" s="114" t="b">
        <v>0</v>
      </c>
      <c r="H765" s="114" t="b">
        <v>0</v>
      </c>
      <c r="I765" s="114" t="b">
        <v>0</v>
      </c>
      <c r="J765" s="114" t="b">
        <v>1</v>
      </c>
      <c r="K765" s="114" t="b">
        <v>0</v>
      </c>
      <c r="L765" s="114" t="b">
        <v>0</v>
      </c>
    </row>
    <row r="766" spans="1:12" ht="15">
      <c r="A766" s="114" t="s">
        <v>2448</v>
      </c>
      <c r="B766" s="114" t="s">
        <v>1882</v>
      </c>
      <c r="C766" s="114">
        <v>2</v>
      </c>
      <c r="D766" s="116">
        <v>0.0005352281502286346</v>
      </c>
      <c r="E766" s="116">
        <v>2.884285462339675</v>
      </c>
      <c r="F766" s="114" t="s">
        <v>2559</v>
      </c>
      <c r="G766" s="114" t="b">
        <v>0</v>
      </c>
      <c r="H766" s="114" t="b">
        <v>0</v>
      </c>
      <c r="I766" s="114" t="b">
        <v>0</v>
      </c>
      <c r="J766" s="114" t="b">
        <v>0</v>
      </c>
      <c r="K766" s="114" t="b">
        <v>0</v>
      </c>
      <c r="L766" s="114" t="b">
        <v>0</v>
      </c>
    </row>
    <row r="767" spans="1:12" ht="15">
      <c r="A767" s="114" t="s">
        <v>1764</v>
      </c>
      <c r="B767" s="114" t="s">
        <v>2042</v>
      </c>
      <c r="C767" s="114">
        <v>2</v>
      </c>
      <c r="D767" s="116">
        <v>0.0006112074525163633</v>
      </c>
      <c r="E767" s="116">
        <v>2.1518917025167066</v>
      </c>
      <c r="F767" s="114" t="s">
        <v>2559</v>
      </c>
      <c r="G767" s="114" t="b">
        <v>0</v>
      </c>
      <c r="H767" s="114" t="b">
        <v>0</v>
      </c>
      <c r="I767" s="114" t="b">
        <v>0</v>
      </c>
      <c r="J767" s="114" t="b">
        <v>0</v>
      </c>
      <c r="K767" s="114" t="b">
        <v>0</v>
      </c>
      <c r="L767" s="114" t="b">
        <v>0</v>
      </c>
    </row>
    <row r="768" spans="1:12" ht="15">
      <c r="A768" s="114" t="s">
        <v>2042</v>
      </c>
      <c r="B768" s="114" t="s">
        <v>1764</v>
      </c>
      <c r="C768" s="114">
        <v>2</v>
      </c>
      <c r="D768" s="116">
        <v>0.0006112074525163633</v>
      </c>
      <c r="E768" s="116">
        <v>2.276830439125007</v>
      </c>
      <c r="F768" s="114" t="s">
        <v>2559</v>
      </c>
      <c r="G768" s="114" t="b">
        <v>0</v>
      </c>
      <c r="H768" s="114" t="b">
        <v>0</v>
      </c>
      <c r="I768" s="114" t="b">
        <v>0</v>
      </c>
      <c r="J768" s="114" t="b">
        <v>0</v>
      </c>
      <c r="K768" s="114" t="b">
        <v>0</v>
      </c>
      <c r="L768" s="114" t="b">
        <v>0</v>
      </c>
    </row>
    <row r="769" spans="1:12" ht="15">
      <c r="A769" s="114" t="s">
        <v>1742</v>
      </c>
      <c r="B769" s="114" t="s">
        <v>2449</v>
      </c>
      <c r="C769" s="114">
        <v>2</v>
      </c>
      <c r="D769" s="116">
        <v>0.0005352281502286346</v>
      </c>
      <c r="E769" s="116">
        <v>1.5150696049295325</v>
      </c>
      <c r="F769" s="114" t="s">
        <v>2559</v>
      </c>
      <c r="G769" s="114" t="b">
        <v>0</v>
      </c>
      <c r="H769" s="114" t="b">
        <v>0</v>
      </c>
      <c r="I769" s="114" t="b">
        <v>0</v>
      </c>
      <c r="J769" s="114" t="b">
        <v>0</v>
      </c>
      <c r="K769" s="114" t="b">
        <v>0</v>
      </c>
      <c r="L769" s="114" t="b">
        <v>0</v>
      </c>
    </row>
    <row r="770" spans="1:12" ht="15">
      <c r="A770" s="114" t="s">
        <v>1787</v>
      </c>
      <c r="B770" s="114" t="s">
        <v>1878</v>
      </c>
      <c r="C770" s="114">
        <v>2</v>
      </c>
      <c r="D770" s="116">
        <v>0.0005352281502286346</v>
      </c>
      <c r="E770" s="116">
        <v>1.9300429529003504</v>
      </c>
      <c r="F770" s="114" t="s">
        <v>2559</v>
      </c>
      <c r="G770" s="114" t="b">
        <v>0</v>
      </c>
      <c r="H770" s="114" t="b">
        <v>0</v>
      </c>
      <c r="I770" s="114" t="b">
        <v>0</v>
      </c>
      <c r="J770" s="114" t="b">
        <v>0</v>
      </c>
      <c r="K770" s="114" t="b">
        <v>0</v>
      </c>
      <c r="L770" s="114" t="b">
        <v>0</v>
      </c>
    </row>
    <row r="771" spans="1:12" ht="15">
      <c r="A771" s="114" t="s">
        <v>1793</v>
      </c>
      <c r="B771" s="114" t="s">
        <v>2097</v>
      </c>
      <c r="C771" s="114">
        <v>2</v>
      </c>
      <c r="D771" s="116">
        <v>0.0005352281502286346</v>
      </c>
      <c r="E771" s="116">
        <v>2.407164207620013</v>
      </c>
      <c r="F771" s="114" t="s">
        <v>2559</v>
      </c>
      <c r="G771" s="114" t="b">
        <v>0</v>
      </c>
      <c r="H771" s="114" t="b">
        <v>0</v>
      </c>
      <c r="I771" s="114" t="b">
        <v>0</v>
      </c>
      <c r="J771" s="114" t="b">
        <v>0</v>
      </c>
      <c r="K771" s="114" t="b">
        <v>0</v>
      </c>
      <c r="L771" s="114" t="b">
        <v>0</v>
      </c>
    </row>
    <row r="772" spans="1:12" ht="15">
      <c r="A772" s="114" t="s">
        <v>1903</v>
      </c>
      <c r="B772" s="114" t="s">
        <v>1793</v>
      </c>
      <c r="C772" s="114">
        <v>2</v>
      </c>
      <c r="D772" s="116">
        <v>0.0005352281502286346</v>
      </c>
      <c r="E772" s="116">
        <v>2.0006240271860576</v>
      </c>
      <c r="F772" s="114" t="s">
        <v>2559</v>
      </c>
      <c r="G772" s="114" t="b">
        <v>0</v>
      </c>
      <c r="H772" s="114" t="b">
        <v>0</v>
      </c>
      <c r="I772" s="114" t="b">
        <v>0</v>
      </c>
      <c r="J772" s="114" t="b">
        <v>0</v>
      </c>
      <c r="K772" s="114" t="b">
        <v>0</v>
      </c>
      <c r="L772" s="114" t="b">
        <v>0</v>
      </c>
    </row>
    <row r="773" spans="1:12" ht="15">
      <c r="A773" s="114" t="s">
        <v>1891</v>
      </c>
      <c r="B773" s="114" t="s">
        <v>1746</v>
      </c>
      <c r="C773" s="114">
        <v>2</v>
      </c>
      <c r="D773" s="116">
        <v>0.0005352281502286346</v>
      </c>
      <c r="E773" s="116">
        <v>1.2965744973207638</v>
      </c>
      <c r="F773" s="114" t="s">
        <v>2559</v>
      </c>
      <c r="G773" s="114" t="b">
        <v>0</v>
      </c>
      <c r="H773" s="114" t="b">
        <v>0</v>
      </c>
      <c r="I773" s="114" t="b">
        <v>0</v>
      </c>
      <c r="J773" s="114" t="b">
        <v>0</v>
      </c>
      <c r="K773" s="114" t="b">
        <v>1</v>
      </c>
      <c r="L773" s="114" t="b">
        <v>0</v>
      </c>
    </row>
    <row r="774" spans="1:12" ht="15">
      <c r="A774" s="114" t="s">
        <v>1810</v>
      </c>
      <c r="B774" s="114" t="s">
        <v>1771</v>
      </c>
      <c r="C774" s="114">
        <v>2</v>
      </c>
      <c r="D774" s="116">
        <v>0.0005352281502286346</v>
      </c>
      <c r="E774" s="116">
        <v>1.6290129572363694</v>
      </c>
      <c r="F774" s="114" t="s">
        <v>2559</v>
      </c>
      <c r="G774" s="114" t="b">
        <v>0</v>
      </c>
      <c r="H774" s="114" t="b">
        <v>0</v>
      </c>
      <c r="I774" s="114" t="b">
        <v>0</v>
      </c>
      <c r="J774" s="114" t="b">
        <v>0</v>
      </c>
      <c r="K774" s="114" t="b">
        <v>1</v>
      </c>
      <c r="L774" s="114" t="b">
        <v>0</v>
      </c>
    </row>
    <row r="775" spans="1:12" ht="15">
      <c r="A775" s="114" t="s">
        <v>2229</v>
      </c>
      <c r="B775" s="114" t="s">
        <v>2450</v>
      </c>
      <c r="C775" s="114">
        <v>2</v>
      </c>
      <c r="D775" s="116">
        <v>0.0005352281502286346</v>
      </c>
      <c r="E775" s="116">
        <v>3.4071642076200126</v>
      </c>
      <c r="F775" s="114" t="s">
        <v>2559</v>
      </c>
      <c r="G775" s="114" t="b">
        <v>0</v>
      </c>
      <c r="H775" s="114" t="b">
        <v>0</v>
      </c>
      <c r="I775" s="114" t="b">
        <v>0</v>
      </c>
      <c r="J775" s="114" t="b">
        <v>0</v>
      </c>
      <c r="K775" s="114" t="b">
        <v>0</v>
      </c>
      <c r="L775" s="114" t="b">
        <v>0</v>
      </c>
    </row>
    <row r="776" spans="1:12" ht="15">
      <c r="A776" s="114" t="s">
        <v>1793</v>
      </c>
      <c r="B776" s="114" t="s">
        <v>2095</v>
      </c>
      <c r="C776" s="114">
        <v>2</v>
      </c>
      <c r="D776" s="116">
        <v>0.0005352281502286346</v>
      </c>
      <c r="E776" s="116">
        <v>2.407164207620013</v>
      </c>
      <c r="F776" s="114" t="s">
        <v>2559</v>
      </c>
      <c r="G776" s="114" t="b">
        <v>0</v>
      </c>
      <c r="H776" s="114" t="b">
        <v>0</v>
      </c>
      <c r="I776" s="114" t="b">
        <v>0</v>
      </c>
      <c r="J776" s="114" t="b">
        <v>0</v>
      </c>
      <c r="K776" s="114" t="b">
        <v>0</v>
      </c>
      <c r="L776" s="114" t="b">
        <v>0</v>
      </c>
    </row>
    <row r="777" spans="1:12" ht="15">
      <c r="A777" s="114" t="s">
        <v>2097</v>
      </c>
      <c r="B777" s="114" t="s">
        <v>2098</v>
      </c>
      <c r="C777" s="114">
        <v>2</v>
      </c>
      <c r="D777" s="116">
        <v>0.0005352281502286346</v>
      </c>
      <c r="E777" s="116">
        <v>3.106134211956032</v>
      </c>
      <c r="F777" s="114" t="s">
        <v>2559</v>
      </c>
      <c r="G777" s="114" t="b">
        <v>0</v>
      </c>
      <c r="H777" s="114" t="b">
        <v>0</v>
      </c>
      <c r="I777" s="114" t="b">
        <v>0</v>
      </c>
      <c r="J777" s="114" t="b">
        <v>0</v>
      </c>
      <c r="K777" s="114" t="b">
        <v>0</v>
      </c>
      <c r="L777" s="114" t="b">
        <v>0</v>
      </c>
    </row>
    <row r="778" spans="1:12" ht="15">
      <c r="A778" s="114" t="s">
        <v>2231</v>
      </c>
      <c r="B778" s="114" t="s">
        <v>2100</v>
      </c>
      <c r="C778" s="114">
        <v>2</v>
      </c>
      <c r="D778" s="116">
        <v>0.0006112074525163633</v>
      </c>
      <c r="E778" s="116">
        <v>3.106134211956032</v>
      </c>
      <c r="F778" s="114" t="s">
        <v>2559</v>
      </c>
      <c r="G778" s="114" t="b">
        <v>0</v>
      </c>
      <c r="H778" s="114" t="b">
        <v>0</v>
      </c>
      <c r="I778" s="114" t="b">
        <v>0</v>
      </c>
      <c r="J778" s="114" t="b">
        <v>0</v>
      </c>
      <c r="K778" s="114" t="b">
        <v>0</v>
      </c>
      <c r="L778" s="114" t="b">
        <v>0</v>
      </c>
    </row>
    <row r="779" spans="1:12" ht="15">
      <c r="A779" s="114" t="s">
        <v>2100</v>
      </c>
      <c r="B779" s="114" t="s">
        <v>2231</v>
      </c>
      <c r="C779" s="114">
        <v>2</v>
      </c>
      <c r="D779" s="116">
        <v>0.0006112074525163633</v>
      </c>
      <c r="E779" s="116">
        <v>3.106134211956032</v>
      </c>
      <c r="F779" s="114" t="s">
        <v>2559</v>
      </c>
      <c r="G779" s="114" t="b">
        <v>0</v>
      </c>
      <c r="H779" s="114" t="b">
        <v>0</v>
      </c>
      <c r="I779" s="114" t="b">
        <v>0</v>
      </c>
      <c r="J779" s="114" t="b">
        <v>0</v>
      </c>
      <c r="K779" s="114" t="b">
        <v>0</v>
      </c>
      <c r="L779" s="114" t="b">
        <v>0</v>
      </c>
    </row>
    <row r="780" spans="1:12" ht="15">
      <c r="A780" s="114" t="s">
        <v>2101</v>
      </c>
      <c r="B780" s="114" t="s">
        <v>1883</v>
      </c>
      <c r="C780" s="114">
        <v>2</v>
      </c>
      <c r="D780" s="116">
        <v>0.0006112074525163633</v>
      </c>
      <c r="E780" s="116">
        <v>2.753951693844669</v>
      </c>
      <c r="F780" s="114" t="s">
        <v>2559</v>
      </c>
      <c r="G780" s="114" t="b">
        <v>1</v>
      </c>
      <c r="H780" s="114" t="b">
        <v>0</v>
      </c>
      <c r="I780" s="114" t="b">
        <v>0</v>
      </c>
      <c r="J780" s="114" t="b">
        <v>0</v>
      </c>
      <c r="K780" s="114" t="b">
        <v>0</v>
      </c>
      <c r="L780" s="114" t="b">
        <v>0</v>
      </c>
    </row>
    <row r="781" spans="1:12" ht="15">
      <c r="A781" s="114" t="s">
        <v>1883</v>
      </c>
      <c r="B781" s="114" t="s">
        <v>1883</v>
      </c>
      <c r="C781" s="114">
        <v>2</v>
      </c>
      <c r="D781" s="116">
        <v>0.0006112074525163633</v>
      </c>
      <c r="E781" s="116">
        <v>2.2310729485643317</v>
      </c>
      <c r="F781" s="114" t="s">
        <v>2559</v>
      </c>
      <c r="G781" s="114" t="b">
        <v>0</v>
      </c>
      <c r="H781" s="114" t="b">
        <v>0</v>
      </c>
      <c r="I781" s="114" t="b">
        <v>0</v>
      </c>
      <c r="J781" s="114" t="b">
        <v>0</v>
      </c>
      <c r="K781" s="114" t="b">
        <v>0</v>
      </c>
      <c r="L781" s="114" t="b">
        <v>0</v>
      </c>
    </row>
    <row r="782" spans="1:12" ht="15">
      <c r="A782" s="114" t="s">
        <v>1979</v>
      </c>
      <c r="B782" s="114" t="s">
        <v>1978</v>
      </c>
      <c r="C782" s="114">
        <v>2</v>
      </c>
      <c r="D782" s="116">
        <v>0.0006112074525163633</v>
      </c>
      <c r="E782" s="116">
        <v>2.7081942032839943</v>
      </c>
      <c r="F782" s="114" t="s">
        <v>2559</v>
      </c>
      <c r="G782" s="114" t="b">
        <v>0</v>
      </c>
      <c r="H782" s="114" t="b">
        <v>1</v>
      </c>
      <c r="I782" s="114" t="b">
        <v>0</v>
      </c>
      <c r="J782" s="114" t="b">
        <v>0</v>
      </c>
      <c r="K782" s="114" t="b">
        <v>0</v>
      </c>
      <c r="L782" s="114" t="b">
        <v>0</v>
      </c>
    </row>
    <row r="783" spans="1:12" ht="15">
      <c r="A783" s="114" t="s">
        <v>1969</v>
      </c>
      <c r="B783" s="114" t="s">
        <v>1969</v>
      </c>
      <c r="C783" s="114">
        <v>2</v>
      </c>
      <c r="D783" s="116">
        <v>0.0006112074525163633</v>
      </c>
      <c r="E783" s="116">
        <v>2.7081942032839943</v>
      </c>
      <c r="F783" s="114" t="s">
        <v>2559</v>
      </c>
      <c r="G783" s="114" t="b">
        <v>0</v>
      </c>
      <c r="H783" s="114" t="b">
        <v>1</v>
      </c>
      <c r="I783" s="114" t="b">
        <v>0</v>
      </c>
      <c r="J783" s="114" t="b">
        <v>0</v>
      </c>
      <c r="K783" s="114" t="b">
        <v>1</v>
      </c>
      <c r="L783" s="114" t="b">
        <v>0</v>
      </c>
    </row>
    <row r="784" spans="1:12" ht="15">
      <c r="A784" s="114" t="s">
        <v>2020</v>
      </c>
      <c r="B784" s="114" t="s">
        <v>2185</v>
      </c>
      <c r="C784" s="114">
        <v>2</v>
      </c>
      <c r="D784" s="116">
        <v>0.0006112074525163633</v>
      </c>
      <c r="E784" s="116">
        <v>3.009224198947975</v>
      </c>
      <c r="F784" s="114" t="s">
        <v>2559</v>
      </c>
      <c r="G784" s="114" t="b">
        <v>0</v>
      </c>
      <c r="H784" s="114" t="b">
        <v>0</v>
      </c>
      <c r="I784" s="114" t="b">
        <v>0</v>
      </c>
      <c r="J784" s="114" t="b">
        <v>0</v>
      </c>
      <c r="K784" s="114" t="b">
        <v>0</v>
      </c>
      <c r="L784" s="114" t="b">
        <v>0</v>
      </c>
    </row>
    <row r="785" spans="1:12" ht="15">
      <c r="A785" s="114" t="s">
        <v>1826</v>
      </c>
      <c r="B785" s="114" t="s">
        <v>1826</v>
      </c>
      <c r="C785" s="114">
        <v>2</v>
      </c>
      <c r="D785" s="116">
        <v>0.0005352281502286346</v>
      </c>
      <c r="E785" s="116">
        <v>1.9921908596491948</v>
      </c>
      <c r="F785" s="114" t="s">
        <v>2559</v>
      </c>
      <c r="G785" s="114" t="b">
        <v>0</v>
      </c>
      <c r="H785" s="114" t="b">
        <v>0</v>
      </c>
      <c r="I785" s="114" t="b">
        <v>0</v>
      </c>
      <c r="J785" s="114" t="b">
        <v>0</v>
      </c>
      <c r="K785" s="114" t="b">
        <v>0</v>
      </c>
      <c r="L785" s="114" t="b">
        <v>0</v>
      </c>
    </row>
    <row r="786" spans="1:12" ht="15">
      <c r="A786" s="114" t="s">
        <v>1868</v>
      </c>
      <c r="B786" s="114" t="s">
        <v>2241</v>
      </c>
      <c r="C786" s="114">
        <v>2</v>
      </c>
      <c r="D786" s="116">
        <v>0.0006112074525163633</v>
      </c>
      <c r="E786" s="116">
        <v>2.7081942032839943</v>
      </c>
      <c r="F786" s="114" t="s">
        <v>2559</v>
      </c>
      <c r="G786" s="114" t="b">
        <v>0</v>
      </c>
      <c r="H786" s="114" t="b">
        <v>0</v>
      </c>
      <c r="I786" s="114" t="b">
        <v>0</v>
      </c>
      <c r="J786" s="114" t="b">
        <v>0</v>
      </c>
      <c r="K786" s="114" t="b">
        <v>0</v>
      </c>
      <c r="L786" s="114" t="b">
        <v>0</v>
      </c>
    </row>
    <row r="787" spans="1:12" ht="15">
      <c r="A787" s="114" t="s">
        <v>2242</v>
      </c>
      <c r="B787" s="114" t="s">
        <v>2479</v>
      </c>
      <c r="C787" s="114">
        <v>2</v>
      </c>
      <c r="D787" s="116">
        <v>0.0006112074525163633</v>
      </c>
      <c r="E787" s="116">
        <v>3.4071642076200126</v>
      </c>
      <c r="F787" s="114" t="s">
        <v>2559</v>
      </c>
      <c r="G787" s="114" t="b">
        <v>0</v>
      </c>
      <c r="H787" s="114" t="b">
        <v>0</v>
      </c>
      <c r="I787" s="114" t="b">
        <v>0</v>
      </c>
      <c r="J787" s="114" t="b">
        <v>0</v>
      </c>
      <c r="K787" s="114" t="b">
        <v>0</v>
      </c>
      <c r="L787" s="114" t="b">
        <v>0</v>
      </c>
    </row>
    <row r="788" spans="1:12" ht="15">
      <c r="A788" s="114" t="s">
        <v>2102</v>
      </c>
      <c r="B788" s="114" t="s">
        <v>1826</v>
      </c>
      <c r="C788" s="114">
        <v>2</v>
      </c>
      <c r="D788" s="116">
        <v>0.0006112074525163633</v>
      </c>
      <c r="E788" s="116">
        <v>2.5040742206280693</v>
      </c>
      <c r="F788" s="114" t="s">
        <v>2559</v>
      </c>
      <c r="G788" s="114" t="b">
        <v>1</v>
      </c>
      <c r="H788" s="114" t="b">
        <v>0</v>
      </c>
      <c r="I788" s="114" t="b">
        <v>0</v>
      </c>
      <c r="J788" s="114" t="b">
        <v>0</v>
      </c>
      <c r="K788" s="114" t="b">
        <v>0</v>
      </c>
      <c r="L788" s="114" t="b">
        <v>0</v>
      </c>
    </row>
    <row r="789" spans="1:12" ht="15">
      <c r="A789" s="114" t="s">
        <v>1845</v>
      </c>
      <c r="B789" s="114" t="s">
        <v>1739</v>
      </c>
      <c r="C789" s="114">
        <v>2</v>
      </c>
      <c r="D789" s="116">
        <v>0.0005352281502286346</v>
      </c>
      <c r="E789" s="116">
        <v>0.502268419764807</v>
      </c>
      <c r="F789" s="114" t="s">
        <v>2559</v>
      </c>
      <c r="G789" s="114" t="b">
        <v>0</v>
      </c>
      <c r="H789" s="114" t="b">
        <v>0</v>
      </c>
      <c r="I789" s="114" t="b">
        <v>0</v>
      </c>
      <c r="J789" s="114" t="b">
        <v>0</v>
      </c>
      <c r="K789" s="114" t="b">
        <v>0</v>
      </c>
      <c r="L789" s="114" t="b">
        <v>0</v>
      </c>
    </row>
    <row r="790" spans="1:12" ht="15">
      <c r="A790" s="114" t="s">
        <v>1876</v>
      </c>
      <c r="B790" s="114" t="s">
        <v>1739</v>
      </c>
      <c r="C790" s="114">
        <v>2</v>
      </c>
      <c r="D790" s="116">
        <v>0.0005352281502286346</v>
      </c>
      <c r="E790" s="116">
        <v>0.502268419764807</v>
      </c>
      <c r="F790" s="114" t="s">
        <v>2559</v>
      </c>
      <c r="G790" s="114" t="b">
        <v>0</v>
      </c>
      <c r="H790" s="114" t="b">
        <v>0</v>
      </c>
      <c r="I790" s="114" t="b">
        <v>0</v>
      </c>
      <c r="J790" s="114" t="b">
        <v>0</v>
      </c>
      <c r="K790" s="114" t="b">
        <v>0</v>
      </c>
      <c r="L790" s="114" t="b">
        <v>0</v>
      </c>
    </row>
    <row r="791" spans="1:12" ht="15">
      <c r="A791" s="114" t="s">
        <v>1739</v>
      </c>
      <c r="B791" s="114" t="s">
        <v>1876</v>
      </c>
      <c r="C791" s="114">
        <v>2</v>
      </c>
      <c r="D791" s="116">
        <v>0.0005352281502286346</v>
      </c>
      <c r="E791" s="116">
        <v>0.49071025907008775</v>
      </c>
      <c r="F791" s="114" t="s">
        <v>2559</v>
      </c>
      <c r="G791" s="114" t="b">
        <v>0</v>
      </c>
      <c r="H791" s="114" t="b">
        <v>0</v>
      </c>
      <c r="I791" s="114" t="b">
        <v>0</v>
      </c>
      <c r="J791" s="114" t="b">
        <v>0</v>
      </c>
      <c r="K791" s="114" t="b">
        <v>0</v>
      </c>
      <c r="L791" s="114" t="b">
        <v>0</v>
      </c>
    </row>
    <row r="792" spans="1:12" ht="15">
      <c r="A792" s="114" t="s">
        <v>1739</v>
      </c>
      <c r="B792" s="114" t="s">
        <v>2482</v>
      </c>
      <c r="C792" s="114">
        <v>2</v>
      </c>
      <c r="D792" s="116">
        <v>0.0006112074525163633</v>
      </c>
      <c r="E792" s="116">
        <v>1.1896802634061066</v>
      </c>
      <c r="F792" s="114" t="s">
        <v>2559</v>
      </c>
      <c r="G792" s="114" t="b">
        <v>0</v>
      </c>
      <c r="H792" s="114" t="b">
        <v>0</v>
      </c>
      <c r="I792" s="114" t="b">
        <v>0</v>
      </c>
      <c r="J792" s="114" t="b">
        <v>0</v>
      </c>
      <c r="K792" s="114" t="b">
        <v>0</v>
      </c>
      <c r="L792" s="114" t="b">
        <v>0</v>
      </c>
    </row>
    <row r="793" spans="1:12" ht="15">
      <c r="A793" s="114" t="s">
        <v>2482</v>
      </c>
      <c r="B793" s="114" t="s">
        <v>1824</v>
      </c>
      <c r="C793" s="114">
        <v>2</v>
      </c>
      <c r="D793" s="116">
        <v>0.0006112074525163633</v>
      </c>
      <c r="E793" s="116">
        <v>2.7703421100328383</v>
      </c>
      <c r="F793" s="114" t="s">
        <v>2559</v>
      </c>
      <c r="G793" s="114" t="b">
        <v>0</v>
      </c>
      <c r="H793" s="114" t="b">
        <v>0</v>
      </c>
      <c r="I793" s="114" t="b">
        <v>0</v>
      </c>
      <c r="J793" s="114" t="b">
        <v>0</v>
      </c>
      <c r="K793" s="114" t="b">
        <v>0</v>
      </c>
      <c r="L793" s="114" t="b">
        <v>0</v>
      </c>
    </row>
    <row r="794" spans="1:12" ht="15">
      <c r="A794" s="114" t="s">
        <v>1876</v>
      </c>
      <c r="B794" s="114" t="s">
        <v>1741</v>
      </c>
      <c r="C794" s="114">
        <v>2</v>
      </c>
      <c r="D794" s="116">
        <v>0.0005352281502286346</v>
      </c>
      <c r="E794" s="116">
        <v>0.7637115311338255</v>
      </c>
      <c r="F794" s="114" t="s">
        <v>2559</v>
      </c>
      <c r="G794" s="114" t="b">
        <v>0</v>
      </c>
      <c r="H794" s="114" t="b">
        <v>0</v>
      </c>
      <c r="I794" s="114" t="b">
        <v>0</v>
      </c>
      <c r="J794" s="114" t="b">
        <v>0</v>
      </c>
      <c r="K794" s="114" t="b">
        <v>0</v>
      </c>
      <c r="L794" s="114" t="b">
        <v>0</v>
      </c>
    </row>
    <row r="795" spans="1:12" ht="15">
      <c r="A795" s="114" t="s">
        <v>2483</v>
      </c>
      <c r="B795" s="114" t="s">
        <v>2159</v>
      </c>
      <c r="C795" s="114">
        <v>2</v>
      </c>
      <c r="D795" s="116">
        <v>0.0006112074525163633</v>
      </c>
      <c r="E795" s="116">
        <v>3.4071642076200126</v>
      </c>
      <c r="F795" s="114" t="s">
        <v>2559</v>
      </c>
      <c r="G795" s="114" t="b">
        <v>0</v>
      </c>
      <c r="H795" s="114" t="b">
        <v>0</v>
      </c>
      <c r="I795" s="114" t="b">
        <v>0</v>
      </c>
      <c r="J795" s="114" t="b">
        <v>0</v>
      </c>
      <c r="K795" s="114" t="b">
        <v>0</v>
      </c>
      <c r="L795" s="114" t="b">
        <v>0</v>
      </c>
    </row>
    <row r="796" spans="1:12" ht="15">
      <c r="A796" s="114" t="s">
        <v>1865</v>
      </c>
      <c r="B796" s="114" t="s">
        <v>2486</v>
      </c>
      <c r="C796" s="114">
        <v>2</v>
      </c>
      <c r="D796" s="116">
        <v>0.0005352281502286346</v>
      </c>
      <c r="E796" s="116">
        <v>2.9300429529003504</v>
      </c>
      <c r="F796" s="114" t="s">
        <v>2559</v>
      </c>
      <c r="G796" s="114" t="b">
        <v>0</v>
      </c>
      <c r="H796" s="114" t="b">
        <v>0</v>
      </c>
      <c r="I796" s="114" t="b">
        <v>0</v>
      </c>
      <c r="J796" s="114" t="b">
        <v>0</v>
      </c>
      <c r="K796" s="114" t="b">
        <v>0</v>
      </c>
      <c r="L796" s="114" t="b">
        <v>0</v>
      </c>
    </row>
    <row r="797" spans="1:12" ht="15">
      <c r="A797" s="114" t="s">
        <v>2243</v>
      </c>
      <c r="B797" s="114" t="s">
        <v>2488</v>
      </c>
      <c r="C797" s="114">
        <v>2</v>
      </c>
      <c r="D797" s="116">
        <v>0.0006112074525163633</v>
      </c>
      <c r="E797" s="116">
        <v>3.4071642076200126</v>
      </c>
      <c r="F797" s="114" t="s">
        <v>2559</v>
      </c>
      <c r="G797" s="114" t="b">
        <v>0</v>
      </c>
      <c r="H797" s="114" t="b">
        <v>0</v>
      </c>
      <c r="I797" s="114" t="b">
        <v>0</v>
      </c>
      <c r="J797" s="114" t="b">
        <v>0</v>
      </c>
      <c r="K797" s="114" t="b">
        <v>0</v>
      </c>
      <c r="L797" s="114" t="b">
        <v>0</v>
      </c>
    </row>
    <row r="798" spans="1:12" ht="15">
      <c r="A798" s="114" t="s">
        <v>2488</v>
      </c>
      <c r="B798" s="114" t="s">
        <v>2244</v>
      </c>
      <c r="C798" s="114">
        <v>2</v>
      </c>
      <c r="D798" s="116">
        <v>0.0006112074525163633</v>
      </c>
      <c r="E798" s="116">
        <v>3.4071642076200126</v>
      </c>
      <c r="F798" s="114" t="s">
        <v>2559</v>
      </c>
      <c r="G798" s="114" t="b">
        <v>0</v>
      </c>
      <c r="H798" s="114" t="b">
        <v>0</v>
      </c>
      <c r="I798" s="114" t="b">
        <v>0</v>
      </c>
      <c r="J798" s="114" t="b">
        <v>0</v>
      </c>
      <c r="K798" s="114" t="b">
        <v>0</v>
      </c>
      <c r="L798" s="114" t="b">
        <v>0</v>
      </c>
    </row>
    <row r="799" spans="1:12" ht="15">
      <c r="A799" s="114" t="s">
        <v>2244</v>
      </c>
      <c r="B799" s="114" t="s">
        <v>2489</v>
      </c>
      <c r="C799" s="114">
        <v>2</v>
      </c>
      <c r="D799" s="116">
        <v>0.0006112074525163633</v>
      </c>
      <c r="E799" s="116">
        <v>3.4071642076200126</v>
      </c>
      <c r="F799" s="114" t="s">
        <v>2559</v>
      </c>
      <c r="G799" s="114" t="b">
        <v>0</v>
      </c>
      <c r="H799" s="114" t="b">
        <v>0</v>
      </c>
      <c r="I799" s="114" t="b">
        <v>0</v>
      </c>
      <c r="J799" s="114" t="b">
        <v>0</v>
      </c>
      <c r="K799" s="114" t="b">
        <v>0</v>
      </c>
      <c r="L799" s="114" t="b">
        <v>0</v>
      </c>
    </row>
    <row r="800" spans="1:12" ht="15">
      <c r="A800" s="114" t="s">
        <v>2246</v>
      </c>
      <c r="B800" s="114" t="s">
        <v>1740</v>
      </c>
      <c r="C800" s="114">
        <v>2</v>
      </c>
      <c r="D800" s="116">
        <v>0.0006112074525163633</v>
      </c>
      <c r="E800" s="116">
        <v>1.1435281390319048</v>
      </c>
      <c r="F800" s="114" t="s">
        <v>2559</v>
      </c>
      <c r="G800" s="114" t="b">
        <v>0</v>
      </c>
      <c r="H800" s="114" t="b">
        <v>0</v>
      </c>
      <c r="I800" s="114" t="b">
        <v>0</v>
      </c>
      <c r="J800" s="114" t="b">
        <v>0</v>
      </c>
      <c r="K800" s="114" t="b">
        <v>0</v>
      </c>
      <c r="L800" s="114" t="b">
        <v>0</v>
      </c>
    </row>
    <row r="801" spans="1:12" ht="15">
      <c r="A801" s="114" t="s">
        <v>2008</v>
      </c>
      <c r="B801" s="114" t="s">
        <v>2490</v>
      </c>
      <c r="C801" s="114">
        <v>2</v>
      </c>
      <c r="D801" s="116">
        <v>0.0006112074525163633</v>
      </c>
      <c r="E801" s="116">
        <v>3.1853154580036565</v>
      </c>
      <c r="F801" s="114" t="s">
        <v>2559</v>
      </c>
      <c r="G801" s="114" t="b">
        <v>0</v>
      </c>
      <c r="H801" s="114" t="b">
        <v>0</v>
      </c>
      <c r="I801" s="114" t="b">
        <v>0</v>
      </c>
      <c r="J801" s="114" t="b">
        <v>0</v>
      </c>
      <c r="K801" s="114" t="b">
        <v>0</v>
      </c>
      <c r="L801" s="114" t="b">
        <v>0</v>
      </c>
    </row>
    <row r="802" spans="1:12" ht="15">
      <c r="A802" s="114" t="s">
        <v>2491</v>
      </c>
      <c r="B802" s="114" t="s">
        <v>2492</v>
      </c>
      <c r="C802" s="114">
        <v>2</v>
      </c>
      <c r="D802" s="116">
        <v>0.0006112074525163633</v>
      </c>
      <c r="E802" s="116">
        <v>3.583255466675694</v>
      </c>
      <c r="F802" s="114" t="s">
        <v>2559</v>
      </c>
      <c r="G802" s="114" t="b">
        <v>0</v>
      </c>
      <c r="H802" s="114" t="b">
        <v>0</v>
      </c>
      <c r="I802" s="114" t="b">
        <v>0</v>
      </c>
      <c r="J802" s="114" t="b">
        <v>0</v>
      </c>
      <c r="K802" s="114" t="b">
        <v>0</v>
      </c>
      <c r="L802" s="114" t="b">
        <v>0</v>
      </c>
    </row>
    <row r="803" spans="1:12" ht="15">
      <c r="A803" s="114" t="s">
        <v>2034</v>
      </c>
      <c r="B803" s="114" t="s">
        <v>2494</v>
      </c>
      <c r="C803" s="114">
        <v>2</v>
      </c>
      <c r="D803" s="116">
        <v>0.0006112074525163633</v>
      </c>
      <c r="E803" s="116">
        <v>3.2822254710117127</v>
      </c>
      <c r="F803" s="114" t="s">
        <v>2559</v>
      </c>
      <c r="G803" s="114" t="b">
        <v>0</v>
      </c>
      <c r="H803" s="114" t="b">
        <v>0</v>
      </c>
      <c r="I803" s="114" t="b">
        <v>0</v>
      </c>
      <c r="J803" s="114" t="b">
        <v>0</v>
      </c>
      <c r="K803" s="114" t="b">
        <v>0</v>
      </c>
      <c r="L803" s="114" t="b">
        <v>0</v>
      </c>
    </row>
    <row r="804" spans="1:12" ht="15">
      <c r="A804" s="114" t="s">
        <v>2495</v>
      </c>
      <c r="B804" s="114" t="s">
        <v>2247</v>
      </c>
      <c r="C804" s="114">
        <v>2</v>
      </c>
      <c r="D804" s="116">
        <v>0.0006112074525163633</v>
      </c>
      <c r="E804" s="116">
        <v>3.4071642076200126</v>
      </c>
      <c r="F804" s="114" t="s">
        <v>2559</v>
      </c>
      <c r="G804" s="114" t="b">
        <v>0</v>
      </c>
      <c r="H804" s="114" t="b">
        <v>0</v>
      </c>
      <c r="I804" s="114" t="b">
        <v>0</v>
      </c>
      <c r="J804" s="114" t="b">
        <v>0</v>
      </c>
      <c r="K804" s="114" t="b">
        <v>0</v>
      </c>
      <c r="L804" s="114" t="b">
        <v>0</v>
      </c>
    </row>
    <row r="805" spans="1:12" ht="15">
      <c r="A805" s="114" t="s">
        <v>1778</v>
      </c>
      <c r="B805" s="114" t="s">
        <v>1744</v>
      </c>
      <c r="C805" s="114">
        <v>2</v>
      </c>
      <c r="D805" s="116">
        <v>0.0006112074525163633</v>
      </c>
      <c r="E805" s="116">
        <v>0.8258594378826699</v>
      </c>
      <c r="F805" s="114" t="s">
        <v>2559</v>
      </c>
      <c r="G805" s="114" t="b">
        <v>0</v>
      </c>
      <c r="H805" s="114" t="b">
        <v>0</v>
      </c>
      <c r="I805" s="114" t="b">
        <v>0</v>
      </c>
      <c r="J805" s="114" t="b">
        <v>0</v>
      </c>
      <c r="K805" s="114" t="b">
        <v>0</v>
      </c>
      <c r="L805" s="114" t="b">
        <v>0</v>
      </c>
    </row>
    <row r="806" spans="1:12" ht="15">
      <c r="A806" s="114" t="s">
        <v>1744</v>
      </c>
      <c r="B806" s="114" t="s">
        <v>1778</v>
      </c>
      <c r="C806" s="114">
        <v>2</v>
      </c>
      <c r="D806" s="116">
        <v>0.0006112074525163633</v>
      </c>
      <c r="E806" s="116">
        <v>0.8094690216945005</v>
      </c>
      <c r="F806" s="114" t="s">
        <v>2559</v>
      </c>
      <c r="G806" s="114" t="b">
        <v>0</v>
      </c>
      <c r="H806" s="114" t="b">
        <v>0</v>
      </c>
      <c r="I806" s="114" t="b">
        <v>0</v>
      </c>
      <c r="J806" s="114" t="b">
        <v>0</v>
      </c>
      <c r="K806" s="114" t="b">
        <v>0</v>
      </c>
      <c r="L806" s="114" t="b">
        <v>0</v>
      </c>
    </row>
    <row r="807" spans="1:12" ht="15">
      <c r="A807" s="114" t="s">
        <v>1778</v>
      </c>
      <c r="B807" s="114" t="s">
        <v>1778</v>
      </c>
      <c r="C807" s="114">
        <v>2</v>
      </c>
      <c r="D807" s="116">
        <v>0.0005352281502286346</v>
      </c>
      <c r="E807" s="116">
        <v>1.500470096359244</v>
      </c>
      <c r="F807" s="114" t="s">
        <v>2559</v>
      </c>
      <c r="G807" s="114" t="b">
        <v>0</v>
      </c>
      <c r="H807" s="114" t="b">
        <v>0</v>
      </c>
      <c r="I807" s="114" t="b">
        <v>0</v>
      </c>
      <c r="J807" s="114" t="b">
        <v>0</v>
      </c>
      <c r="K807" s="114" t="b">
        <v>0</v>
      </c>
      <c r="L807" s="114" t="b">
        <v>0</v>
      </c>
    </row>
    <row r="808" spans="1:12" ht="15">
      <c r="A808" s="114" t="s">
        <v>1778</v>
      </c>
      <c r="B808" s="114" t="s">
        <v>1747</v>
      </c>
      <c r="C808" s="114">
        <v>2</v>
      </c>
      <c r="D808" s="116">
        <v>0.0006112074525163633</v>
      </c>
      <c r="E808" s="116">
        <v>0.9398027901895067</v>
      </c>
      <c r="F808" s="114" t="s">
        <v>2559</v>
      </c>
      <c r="G808" s="114" t="b">
        <v>0</v>
      </c>
      <c r="H808" s="114" t="b">
        <v>0</v>
      </c>
      <c r="I808" s="114" t="b">
        <v>0</v>
      </c>
      <c r="J808" s="114" t="b">
        <v>0</v>
      </c>
      <c r="K808" s="114" t="b">
        <v>0</v>
      </c>
      <c r="L808" s="114" t="b">
        <v>0</v>
      </c>
    </row>
    <row r="809" spans="1:12" ht="15">
      <c r="A809" s="114" t="s">
        <v>2022</v>
      </c>
      <c r="B809" s="114" t="s">
        <v>2499</v>
      </c>
      <c r="C809" s="114">
        <v>2</v>
      </c>
      <c r="D809" s="116">
        <v>0.0006112074525163633</v>
      </c>
      <c r="E809" s="116">
        <v>3.1853154580036565</v>
      </c>
      <c r="F809" s="114" t="s">
        <v>2559</v>
      </c>
      <c r="G809" s="114" t="b">
        <v>0</v>
      </c>
      <c r="H809" s="114" t="b">
        <v>0</v>
      </c>
      <c r="I809" s="114" t="b">
        <v>0</v>
      </c>
      <c r="J809" s="114" t="b">
        <v>0</v>
      </c>
      <c r="K809" s="114" t="b">
        <v>0</v>
      </c>
      <c r="L809" s="114" t="b">
        <v>0</v>
      </c>
    </row>
    <row r="810" spans="1:12" ht="15">
      <c r="A810" s="114" t="s">
        <v>1980</v>
      </c>
      <c r="B810" s="114" t="s">
        <v>2500</v>
      </c>
      <c r="C810" s="114">
        <v>2</v>
      </c>
      <c r="D810" s="116">
        <v>0.0005352281502286346</v>
      </c>
      <c r="E810" s="116">
        <v>3.106134211956032</v>
      </c>
      <c r="F810" s="114" t="s">
        <v>2559</v>
      </c>
      <c r="G810" s="114" t="b">
        <v>0</v>
      </c>
      <c r="H810" s="114" t="b">
        <v>0</v>
      </c>
      <c r="I810" s="114" t="b">
        <v>0</v>
      </c>
      <c r="J810" s="114" t="b">
        <v>0</v>
      </c>
      <c r="K810" s="114" t="b">
        <v>0</v>
      </c>
      <c r="L810" s="114" t="b">
        <v>0</v>
      </c>
    </row>
    <row r="811" spans="1:12" ht="15">
      <c r="A811" s="114" t="s">
        <v>1980</v>
      </c>
      <c r="B811" s="114" t="s">
        <v>1740</v>
      </c>
      <c r="C811" s="114">
        <v>2</v>
      </c>
      <c r="D811" s="116">
        <v>0.0005352281502286346</v>
      </c>
      <c r="E811" s="116">
        <v>0.8424981433679235</v>
      </c>
      <c r="F811" s="114" t="s">
        <v>2559</v>
      </c>
      <c r="G811" s="114" t="b">
        <v>0</v>
      </c>
      <c r="H811" s="114" t="b">
        <v>0</v>
      </c>
      <c r="I811" s="114" t="b">
        <v>0</v>
      </c>
      <c r="J811" s="114" t="b">
        <v>0</v>
      </c>
      <c r="K811" s="114" t="b">
        <v>0</v>
      </c>
      <c r="L811" s="114" t="b">
        <v>0</v>
      </c>
    </row>
    <row r="812" spans="1:12" ht="15">
      <c r="A812" s="114" t="s">
        <v>1740</v>
      </c>
      <c r="B812" s="114" t="s">
        <v>1775</v>
      </c>
      <c r="C812" s="114">
        <v>2</v>
      </c>
      <c r="D812" s="116">
        <v>0.0005352281502286346</v>
      </c>
      <c r="E812" s="116">
        <v>0.2624862383370076</v>
      </c>
      <c r="F812" s="114" t="s">
        <v>2559</v>
      </c>
      <c r="G812" s="114" t="b">
        <v>0</v>
      </c>
      <c r="H812" s="114" t="b">
        <v>0</v>
      </c>
      <c r="I812" s="114" t="b">
        <v>0</v>
      </c>
      <c r="J812" s="114" t="b">
        <v>0</v>
      </c>
      <c r="K812" s="114" t="b">
        <v>0</v>
      </c>
      <c r="L812" s="114" t="b">
        <v>0</v>
      </c>
    </row>
    <row r="813" spans="1:12" ht="15">
      <c r="A813" s="114" t="s">
        <v>2507</v>
      </c>
      <c r="B813" s="114" t="s">
        <v>2508</v>
      </c>
      <c r="C813" s="114">
        <v>2</v>
      </c>
      <c r="D813" s="116">
        <v>0.0006112074525163633</v>
      </c>
      <c r="E813" s="116">
        <v>3.583255466675694</v>
      </c>
      <c r="F813" s="114" t="s">
        <v>2559</v>
      </c>
      <c r="G813" s="114" t="b">
        <v>0</v>
      </c>
      <c r="H813" s="114" t="b">
        <v>0</v>
      </c>
      <c r="I813" s="114" t="b">
        <v>0</v>
      </c>
      <c r="J813" s="114" t="b">
        <v>0</v>
      </c>
      <c r="K813" s="114" t="b">
        <v>0</v>
      </c>
      <c r="L813" s="114" t="b">
        <v>0</v>
      </c>
    </row>
    <row r="814" spans="1:12" ht="15">
      <c r="A814" s="114" t="s">
        <v>1742</v>
      </c>
      <c r="B814" s="114" t="s">
        <v>1945</v>
      </c>
      <c r="C814" s="114">
        <v>2</v>
      </c>
      <c r="D814" s="116">
        <v>0.0005352281502286346</v>
      </c>
      <c r="E814" s="116">
        <v>0.9710015605792568</v>
      </c>
      <c r="F814" s="114" t="s">
        <v>2559</v>
      </c>
      <c r="G814" s="114" t="b">
        <v>0</v>
      </c>
      <c r="H814" s="114" t="b">
        <v>0</v>
      </c>
      <c r="I814" s="114" t="b">
        <v>0</v>
      </c>
      <c r="J814" s="114" t="b">
        <v>0</v>
      </c>
      <c r="K814" s="114" t="b">
        <v>0</v>
      </c>
      <c r="L814" s="114" t="b">
        <v>0</v>
      </c>
    </row>
    <row r="815" spans="1:12" ht="15">
      <c r="A815" s="114" t="s">
        <v>1814</v>
      </c>
      <c r="B815" s="114" t="s">
        <v>1933</v>
      </c>
      <c r="C815" s="114">
        <v>2</v>
      </c>
      <c r="D815" s="116">
        <v>0.0005352281502286346</v>
      </c>
      <c r="E815" s="116">
        <v>2.194089382311162</v>
      </c>
      <c r="F815" s="114" t="s">
        <v>2559</v>
      </c>
      <c r="G815" s="114" t="b">
        <v>0</v>
      </c>
      <c r="H815" s="114" t="b">
        <v>0</v>
      </c>
      <c r="I815" s="114" t="b">
        <v>0</v>
      </c>
      <c r="J815" s="114" t="b">
        <v>0</v>
      </c>
      <c r="K815" s="114" t="b">
        <v>0</v>
      </c>
      <c r="L815" s="114" t="b">
        <v>0</v>
      </c>
    </row>
    <row r="816" spans="1:12" ht="15">
      <c r="A816" s="114" t="s">
        <v>1933</v>
      </c>
      <c r="B816" s="114" t="s">
        <v>1798</v>
      </c>
      <c r="C816" s="114">
        <v>2</v>
      </c>
      <c r="D816" s="116">
        <v>0.0005352281502286346</v>
      </c>
      <c r="E816" s="116">
        <v>2.176715286241739</v>
      </c>
      <c r="F816" s="114" t="s">
        <v>2559</v>
      </c>
      <c r="G816" s="114" t="b">
        <v>0</v>
      </c>
      <c r="H816" s="114" t="b">
        <v>0</v>
      </c>
      <c r="I816" s="114" t="b">
        <v>0</v>
      </c>
      <c r="J816" s="114" t="b">
        <v>0</v>
      </c>
      <c r="K816" s="114" t="b">
        <v>0</v>
      </c>
      <c r="L816" s="114" t="b">
        <v>0</v>
      </c>
    </row>
    <row r="817" spans="1:12" ht="15">
      <c r="A817" s="114" t="s">
        <v>2512</v>
      </c>
      <c r="B817" s="114" t="s">
        <v>2513</v>
      </c>
      <c r="C817" s="114">
        <v>2</v>
      </c>
      <c r="D817" s="116">
        <v>0.0006112074525163633</v>
      </c>
      <c r="E817" s="116">
        <v>3.583255466675694</v>
      </c>
      <c r="F817" s="114" t="s">
        <v>2559</v>
      </c>
      <c r="G817" s="114" t="b">
        <v>0</v>
      </c>
      <c r="H817" s="114" t="b">
        <v>0</v>
      </c>
      <c r="I817" s="114" t="b">
        <v>0</v>
      </c>
      <c r="J817" s="114" t="b">
        <v>0</v>
      </c>
      <c r="K817" s="114" t="b">
        <v>0</v>
      </c>
      <c r="L817" s="114" t="b">
        <v>0</v>
      </c>
    </row>
    <row r="818" spans="1:12" ht="15">
      <c r="A818" s="114" t="s">
        <v>2516</v>
      </c>
      <c r="B818" s="114" t="s">
        <v>2517</v>
      </c>
      <c r="C818" s="114">
        <v>2</v>
      </c>
      <c r="D818" s="116">
        <v>0.0006112074525163633</v>
      </c>
      <c r="E818" s="116">
        <v>3.583255466675694</v>
      </c>
      <c r="F818" s="114" t="s">
        <v>2559</v>
      </c>
      <c r="G818" s="114" t="b">
        <v>0</v>
      </c>
      <c r="H818" s="114" t="b">
        <v>0</v>
      </c>
      <c r="I818" s="114" t="b">
        <v>0</v>
      </c>
      <c r="J818" s="114" t="b">
        <v>0</v>
      </c>
      <c r="K818" s="114" t="b">
        <v>0</v>
      </c>
      <c r="L818" s="114" t="b">
        <v>0</v>
      </c>
    </row>
    <row r="819" spans="1:12" ht="15">
      <c r="A819" s="114" t="s">
        <v>2252</v>
      </c>
      <c r="B819" s="114" t="s">
        <v>1806</v>
      </c>
      <c r="C819" s="114">
        <v>2</v>
      </c>
      <c r="D819" s="116">
        <v>0.0006112074525163633</v>
      </c>
      <c r="E819" s="116">
        <v>2.5040742206280693</v>
      </c>
      <c r="F819" s="114" t="s">
        <v>2559</v>
      </c>
      <c r="G819" s="114" t="b">
        <v>0</v>
      </c>
      <c r="H819" s="114" t="b">
        <v>0</v>
      </c>
      <c r="I819" s="114" t="b">
        <v>0</v>
      </c>
      <c r="J819" s="114" t="b">
        <v>0</v>
      </c>
      <c r="K819" s="114" t="b">
        <v>0</v>
      </c>
      <c r="L819" s="114" t="b">
        <v>0</v>
      </c>
    </row>
    <row r="820" spans="1:12" ht="15">
      <c r="A820" s="114" t="s">
        <v>2520</v>
      </c>
      <c r="B820" s="114" t="s">
        <v>2521</v>
      </c>
      <c r="C820" s="114">
        <v>2</v>
      </c>
      <c r="D820" s="116">
        <v>0.0006112074525163633</v>
      </c>
      <c r="E820" s="116">
        <v>3.583255466675694</v>
      </c>
      <c r="F820" s="114" t="s">
        <v>2559</v>
      </c>
      <c r="G820" s="114" t="b">
        <v>0</v>
      </c>
      <c r="H820" s="114" t="b">
        <v>0</v>
      </c>
      <c r="I820" s="114" t="b">
        <v>0</v>
      </c>
      <c r="J820" s="114" t="b">
        <v>0</v>
      </c>
      <c r="K820" s="114" t="b">
        <v>0</v>
      </c>
      <c r="L820" s="114" t="b">
        <v>0</v>
      </c>
    </row>
    <row r="821" spans="1:12" ht="15">
      <c r="A821" s="114" t="s">
        <v>1844</v>
      </c>
      <c r="B821" s="114" t="s">
        <v>2110</v>
      </c>
      <c r="C821" s="114">
        <v>2</v>
      </c>
      <c r="D821" s="116">
        <v>0.0005352281502286346</v>
      </c>
      <c r="E821" s="116">
        <v>2.8051042162920505</v>
      </c>
      <c r="F821" s="114" t="s">
        <v>2559</v>
      </c>
      <c r="G821" s="114" t="b">
        <v>0</v>
      </c>
      <c r="H821" s="114" t="b">
        <v>0</v>
      </c>
      <c r="I821" s="114" t="b">
        <v>0</v>
      </c>
      <c r="J821" s="114" t="b">
        <v>0</v>
      </c>
      <c r="K821" s="114" t="b">
        <v>0</v>
      </c>
      <c r="L821" s="114" t="b">
        <v>0</v>
      </c>
    </row>
    <row r="822" spans="1:12" ht="15">
      <c r="A822" s="114" t="s">
        <v>1844</v>
      </c>
      <c r="B822" s="114" t="s">
        <v>1740</v>
      </c>
      <c r="C822" s="114">
        <v>2</v>
      </c>
      <c r="D822" s="116">
        <v>0.0005352281502286346</v>
      </c>
      <c r="E822" s="116">
        <v>0.5414681477039424</v>
      </c>
      <c r="F822" s="114" t="s">
        <v>2559</v>
      </c>
      <c r="G822" s="114" t="b">
        <v>0</v>
      </c>
      <c r="H822" s="114" t="b">
        <v>0</v>
      </c>
      <c r="I822" s="114" t="b">
        <v>0</v>
      </c>
      <c r="J822" s="114" t="b">
        <v>0</v>
      </c>
      <c r="K822" s="114" t="b">
        <v>0</v>
      </c>
      <c r="L822" s="114" t="b">
        <v>0</v>
      </c>
    </row>
    <row r="823" spans="1:12" ht="15">
      <c r="A823" s="114" t="s">
        <v>2254</v>
      </c>
      <c r="B823" s="114" t="s">
        <v>1779</v>
      </c>
      <c r="C823" s="114">
        <v>2</v>
      </c>
      <c r="D823" s="116">
        <v>0.0005352281502286346</v>
      </c>
      <c r="E823" s="116">
        <v>2.541862781517469</v>
      </c>
      <c r="F823" s="114" t="s">
        <v>2559</v>
      </c>
      <c r="G823" s="114" t="b">
        <v>0</v>
      </c>
      <c r="H823" s="114" t="b">
        <v>0</v>
      </c>
      <c r="I823" s="114" t="b">
        <v>0</v>
      </c>
      <c r="J823" s="114" t="b">
        <v>0</v>
      </c>
      <c r="K823" s="114" t="b">
        <v>0</v>
      </c>
      <c r="L823" s="114" t="b">
        <v>0</v>
      </c>
    </row>
    <row r="824" spans="1:12" ht="15">
      <c r="A824" s="114" t="s">
        <v>1779</v>
      </c>
      <c r="B824" s="114" t="s">
        <v>1740</v>
      </c>
      <c r="C824" s="114">
        <v>2</v>
      </c>
      <c r="D824" s="116">
        <v>0.0005352281502286346</v>
      </c>
      <c r="E824" s="116">
        <v>0.27822671292936096</v>
      </c>
      <c r="F824" s="114" t="s">
        <v>2559</v>
      </c>
      <c r="G824" s="114" t="b">
        <v>0</v>
      </c>
      <c r="H824" s="114" t="b">
        <v>0</v>
      </c>
      <c r="I824" s="114" t="b">
        <v>0</v>
      </c>
      <c r="J824" s="114" t="b">
        <v>0</v>
      </c>
      <c r="K824" s="114" t="b">
        <v>0</v>
      </c>
      <c r="L824" s="114" t="b">
        <v>0</v>
      </c>
    </row>
    <row r="825" spans="1:12" ht="15">
      <c r="A825" s="114" t="s">
        <v>1755</v>
      </c>
      <c r="B825" s="114" t="s">
        <v>1955</v>
      </c>
      <c r="C825" s="114">
        <v>2</v>
      </c>
      <c r="D825" s="116">
        <v>0.0005352281502286346</v>
      </c>
      <c r="E825" s="116">
        <v>1.8273806110032027</v>
      </c>
      <c r="F825" s="114" t="s">
        <v>2559</v>
      </c>
      <c r="G825" s="114" t="b">
        <v>0</v>
      </c>
      <c r="H825" s="114" t="b">
        <v>0</v>
      </c>
      <c r="I825" s="114" t="b">
        <v>0</v>
      </c>
      <c r="J825" s="114" t="b">
        <v>0</v>
      </c>
      <c r="K825" s="114" t="b">
        <v>0</v>
      </c>
      <c r="L825" s="114" t="b">
        <v>0</v>
      </c>
    </row>
    <row r="826" spans="1:12" ht="15">
      <c r="A826" s="114" t="s">
        <v>1955</v>
      </c>
      <c r="B826" s="114" t="s">
        <v>1844</v>
      </c>
      <c r="C826" s="114">
        <v>2</v>
      </c>
      <c r="D826" s="116">
        <v>0.0005352281502286346</v>
      </c>
      <c r="E826" s="116">
        <v>2.327982961572388</v>
      </c>
      <c r="F826" s="114" t="s">
        <v>2559</v>
      </c>
      <c r="G826" s="114" t="b">
        <v>0</v>
      </c>
      <c r="H826" s="114" t="b">
        <v>0</v>
      </c>
      <c r="I826" s="114" t="b">
        <v>0</v>
      </c>
      <c r="J826" s="114" t="b">
        <v>0</v>
      </c>
      <c r="K826" s="114" t="b">
        <v>0</v>
      </c>
      <c r="L826" s="114" t="b">
        <v>0</v>
      </c>
    </row>
    <row r="827" spans="1:12" ht="15">
      <c r="A827" s="114" t="s">
        <v>1844</v>
      </c>
      <c r="B827" s="114" t="s">
        <v>2233</v>
      </c>
      <c r="C827" s="114">
        <v>2</v>
      </c>
      <c r="D827" s="116">
        <v>0.0005352281502286346</v>
      </c>
      <c r="E827" s="116">
        <v>2.629012957236369</v>
      </c>
      <c r="F827" s="114" t="s">
        <v>2559</v>
      </c>
      <c r="G827" s="114" t="b">
        <v>0</v>
      </c>
      <c r="H827" s="114" t="b">
        <v>0</v>
      </c>
      <c r="I827" s="114" t="b">
        <v>0</v>
      </c>
      <c r="J827" s="114" t="b">
        <v>0</v>
      </c>
      <c r="K827" s="114" t="b">
        <v>0</v>
      </c>
      <c r="L827" s="114" t="b">
        <v>0</v>
      </c>
    </row>
    <row r="828" spans="1:12" ht="15">
      <c r="A828" s="114" t="s">
        <v>2233</v>
      </c>
      <c r="B828" s="114" t="s">
        <v>2523</v>
      </c>
      <c r="C828" s="114">
        <v>2</v>
      </c>
      <c r="D828" s="116">
        <v>0.0005352281502286346</v>
      </c>
      <c r="E828" s="116">
        <v>3.4071642076200126</v>
      </c>
      <c r="F828" s="114" t="s">
        <v>2559</v>
      </c>
      <c r="G828" s="114" t="b">
        <v>0</v>
      </c>
      <c r="H828" s="114" t="b">
        <v>0</v>
      </c>
      <c r="I828" s="114" t="b">
        <v>0</v>
      </c>
      <c r="J828" s="114" t="b">
        <v>0</v>
      </c>
      <c r="K828" s="114" t="b">
        <v>0</v>
      </c>
      <c r="L828" s="114" t="b">
        <v>0</v>
      </c>
    </row>
    <row r="829" spans="1:12" ht="15">
      <c r="A829" s="114" t="s">
        <v>2523</v>
      </c>
      <c r="B829" s="114" t="s">
        <v>1954</v>
      </c>
      <c r="C829" s="114">
        <v>2</v>
      </c>
      <c r="D829" s="116">
        <v>0.0005352281502286346</v>
      </c>
      <c r="E829" s="116">
        <v>3.106134211956032</v>
      </c>
      <c r="F829" s="114" t="s">
        <v>2559</v>
      </c>
      <c r="G829" s="114" t="b">
        <v>0</v>
      </c>
      <c r="H829" s="114" t="b">
        <v>0</v>
      </c>
      <c r="I829" s="114" t="b">
        <v>0</v>
      </c>
      <c r="J829" s="114" t="b">
        <v>0</v>
      </c>
      <c r="K829" s="114" t="b">
        <v>0</v>
      </c>
      <c r="L829" s="114" t="b">
        <v>0</v>
      </c>
    </row>
    <row r="830" spans="1:12" ht="15">
      <c r="A830" s="114" t="s">
        <v>1954</v>
      </c>
      <c r="B830" s="114" t="s">
        <v>2230</v>
      </c>
      <c r="C830" s="114">
        <v>2</v>
      </c>
      <c r="D830" s="116">
        <v>0.0005352281502286346</v>
      </c>
      <c r="E830" s="116">
        <v>2.9300429529003504</v>
      </c>
      <c r="F830" s="114" t="s">
        <v>2559</v>
      </c>
      <c r="G830" s="114" t="b">
        <v>0</v>
      </c>
      <c r="H830" s="114" t="b">
        <v>0</v>
      </c>
      <c r="I830" s="114" t="b">
        <v>0</v>
      </c>
      <c r="J830" s="114" t="b">
        <v>0</v>
      </c>
      <c r="K830" s="114" t="b">
        <v>0</v>
      </c>
      <c r="L830" s="114" t="b">
        <v>0</v>
      </c>
    </row>
    <row r="831" spans="1:12" ht="15">
      <c r="A831" s="114" t="s">
        <v>2230</v>
      </c>
      <c r="B831" s="114" t="s">
        <v>1880</v>
      </c>
      <c r="C831" s="114">
        <v>2</v>
      </c>
      <c r="D831" s="116">
        <v>0.0005352281502286346</v>
      </c>
      <c r="E831" s="116">
        <v>2.7081942032839943</v>
      </c>
      <c r="F831" s="114" t="s">
        <v>2559</v>
      </c>
      <c r="G831" s="114" t="b">
        <v>0</v>
      </c>
      <c r="H831" s="114" t="b">
        <v>0</v>
      </c>
      <c r="I831" s="114" t="b">
        <v>0</v>
      </c>
      <c r="J831" s="114" t="b">
        <v>0</v>
      </c>
      <c r="K831" s="114" t="b">
        <v>0</v>
      </c>
      <c r="L831" s="114" t="b">
        <v>0</v>
      </c>
    </row>
    <row r="832" spans="1:12" ht="15">
      <c r="A832" s="114" t="s">
        <v>1880</v>
      </c>
      <c r="B832" s="114" t="s">
        <v>2046</v>
      </c>
      <c r="C832" s="114">
        <v>2</v>
      </c>
      <c r="D832" s="116">
        <v>0.0005352281502286346</v>
      </c>
      <c r="E832" s="116">
        <v>2.583255466675694</v>
      </c>
      <c r="F832" s="114" t="s">
        <v>2559</v>
      </c>
      <c r="G832" s="114" t="b">
        <v>0</v>
      </c>
      <c r="H832" s="114" t="b">
        <v>0</v>
      </c>
      <c r="I832" s="114" t="b">
        <v>0</v>
      </c>
      <c r="J832" s="114" t="b">
        <v>0</v>
      </c>
      <c r="K832" s="114" t="b">
        <v>0</v>
      </c>
      <c r="L832" s="114" t="b">
        <v>0</v>
      </c>
    </row>
    <row r="833" spans="1:12" ht="15">
      <c r="A833" s="114" t="s">
        <v>2046</v>
      </c>
      <c r="B833" s="114" t="s">
        <v>2524</v>
      </c>
      <c r="C833" s="114">
        <v>2</v>
      </c>
      <c r="D833" s="116">
        <v>0.0005352281502286346</v>
      </c>
      <c r="E833" s="116">
        <v>3.4071642076200126</v>
      </c>
      <c r="F833" s="114" t="s">
        <v>2559</v>
      </c>
      <c r="G833" s="114" t="b">
        <v>0</v>
      </c>
      <c r="H833" s="114" t="b">
        <v>0</v>
      </c>
      <c r="I833" s="114" t="b">
        <v>0</v>
      </c>
      <c r="J833" s="114" t="b">
        <v>0</v>
      </c>
      <c r="K833" s="114" t="b">
        <v>0</v>
      </c>
      <c r="L833" s="114" t="b">
        <v>0</v>
      </c>
    </row>
    <row r="834" spans="1:12" ht="15">
      <c r="A834" s="114" t="s">
        <v>2524</v>
      </c>
      <c r="B834" s="114" t="s">
        <v>1967</v>
      </c>
      <c r="C834" s="114">
        <v>2</v>
      </c>
      <c r="D834" s="116">
        <v>0.0005352281502286346</v>
      </c>
      <c r="E834" s="116">
        <v>3.106134211956032</v>
      </c>
      <c r="F834" s="114" t="s">
        <v>2559</v>
      </c>
      <c r="G834" s="114" t="b">
        <v>0</v>
      </c>
      <c r="H834" s="114" t="b">
        <v>0</v>
      </c>
      <c r="I834" s="114" t="b">
        <v>0</v>
      </c>
      <c r="J834" s="114" t="b">
        <v>0</v>
      </c>
      <c r="K834" s="114" t="b">
        <v>0</v>
      </c>
      <c r="L834" s="114" t="b">
        <v>0</v>
      </c>
    </row>
    <row r="835" spans="1:12" ht="15">
      <c r="A835" s="114" t="s">
        <v>1967</v>
      </c>
      <c r="B835" s="114" t="s">
        <v>2525</v>
      </c>
      <c r="C835" s="114">
        <v>2</v>
      </c>
      <c r="D835" s="116">
        <v>0.0005352281502286346</v>
      </c>
      <c r="E835" s="116">
        <v>3.106134211956032</v>
      </c>
      <c r="F835" s="114" t="s">
        <v>2559</v>
      </c>
      <c r="G835" s="114" t="b">
        <v>0</v>
      </c>
      <c r="H835" s="114" t="b">
        <v>0</v>
      </c>
      <c r="I835" s="114" t="b">
        <v>0</v>
      </c>
      <c r="J835" s="114" t="b">
        <v>0</v>
      </c>
      <c r="K835" s="114" t="b">
        <v>0</v>
      </c>
      <c r="L835" s="114" t="b">
        <v>0</v>
      </c>
    </row>
    <row r="836" spans="1:12" ht="15">
      <c r="A836" s="114" t="s">
        <v>2525</v>
      </c>
      <c r="B836" s="114" t="s">
        <v>1844</v>
      </c>
      <c r="C836" s="114">
        <v>2</v>
      </c>
      <c r="D836" s="116">
        <v>0.0005352281502286346</v>
      </c>
      <c r="E836" s="116">
        <v>2.8051042162920505</v>
      </c>
      <c r="F836" s="114" t="s">
        <v>2559</v>
      </c>
      <c r="G836" s="114" t="b">
        <v>0</v>
      </c>
      <c r="H836" s="114" t="b">
        <v>0</v>
      </c>
      <c r="I836" s="114" t="b">
        <v>0</v>
      </c>
      <c r="J836" s="114" t="b">
        <v>0</v>
      </c>
      <c r="K836" s="114" t="b">
        <v>0</v>
      </c>
      <c r="L836" s="114" t="b">
        <v>0</v>
      </c>
    </row>
    <row r="837" spans="1:12" ht="15">
      <c r="A837" s="114" t="s">
        <v>1844</v>
      </c>
      <c r="B837" s="114" t="s">
        <v>1764</v>
      </c>
      <c r="C837" s="114">
        <v>2</v>
      </c>
      <c r="D837" s="116">
        <v>0.0005352281502286346</v>
      </c>
      <c r="E837" s="116">
        <v>1.6747704477970444</v>
      </c>
      <c r="F837" s="114" t="s">
        <v>2559</v>
      </c>
      <c r="G837" s="114" t="b">
        <v>0</v>
      </c>
      <c r="H837" s="114" t="b">
        <v>0</v>
      </c>
      <c r="I837" s="114" t="b">
        <v>0</v>
      </c>
      <c r="J837" s="114" t="b">
        <v>0</v>
      </c>
      <c r="K837" s="114" t="b">
        <v>0</v>
      </c>
      <c r="L837" s="114" t="b">
        <v>0</v>
      </c>
    </row>
    <row r="838" spans="1:12" ht="15">
      <c r="A838" s="114" t="s">
        <v>1764</v>
      </c>
      <c r="B838" s="114" t="s">
        <v>1844</v>
      </c>
      <c r="C838" s="114">
        <v>2</v>
      </c>
      <c r="D838" s="116">
        <v>0.0005352281502286346</v>
      </c>
      <c r="E838" s="116">
        <v>1.6747704477970444</v>
      </c>
      <c r="F838" s="114" t="s">
        <v>2559</v>
      </c>
      <c r="G838" s="114" t="b">
        <v>0</v>
      </c>
      <c r="H838" s="114" t="b">
        <v>0</v>
      </c>
      <c r="I838" s="114" t="b">
        <v>0</v>
      </c>
      <c r="J838" s="114" t="b">
        <v>0</v>
      </c>
      <c r="K838" s="114" t="b">
        <v>0</v>
      </c>
      <c r="L838" s="114" t="b">
        <v>0</v>
      </c>
    </row>
    <row r="839" spans="1:12" ht="15">
      <c r="A839" s="114" t="s">
        <v>1844</v>
      </c>
      <c r="B839" s="114" t="s">
        <v>1866</v>
      </c>
      <c r="C839" s="114">
        <v>2</v>
      </c>
      <c r="D839" s="116">
        <v>0.0005352281502286346</v>
      </c>
      <c r="E839" s="116">
        <v>2.106134211956032</v>
      </c>
      <c r="F839" s="114" t="s">
        <v>2559</v>
      </c>
      <c r="G839" s="114" t="b">
        <v>0</v>
      </c>
      <c r="H839" s="114" t="b">
        <v>0</v>
      </c>
      <c r="I839" s="114" t="b">
        <v>0</v>
      </c>
      <c r="J839" s="114" t="b">
        <v>0</v>
      </c>
      <c r="K839" s="114" t="b">
        <v>0</v>
      </c>
      <c r="L839" s="114" t="b">
        <v>0</v>
      </c>
    </row>
    <row r="840" spans="1:12" ht="15">
      <c r="A840" s="114" t="s">
        <v>1866</v>
      </c>
      <c r="B840" s="114" t="s">
        <v>1844</v>
      </c>
      <c r="C840" s="114">
        <v>2</v>
      </c>
      <c r="D840" s="116">
        <v>0.0005352281502286346</v>
      </c>
      <c r="E840" s="116">
        <v>2.106134211956032</v>
      </c>
      <c r="F840" s="114" t="s">
        <v>2559</v>
      </c>
      <c r="G840" s="114" t="b">
        <v>0</v>
      </c>
      <c r="H840" s="114" t="b">
        <v>0</v>
      </c>
      <c r="I840" s="114" t="b">
        <v>0</v>
      </c>
      <c r="J840" s="114" t="b">
        <v>0</v>
      </c>
      <c r="K840" s="114" t="b">
        <v>0</v>
      </c>
      <c r="L840" s="114" t="b">
        <v>0</v>
      </c>
    </row>
    <row r="841" spans="1:12" ht="15">
      <c r="A841" s="114" t="s">
        <v>1844</v>
      </c>
      <c r="B841" s="114" t="s">
        <v>1801</v>
      </c>
      <c r="C841" s="114">
        <v>2</v>
      </c>
      <c r="D841" s="116">
        <v>0.0005352281502286346</v>
      </c>
      <c r="E841" s="116">
        <v>1.8756852905777577</v>
      </c>
      <c r="F841" s="114" t="s">
        <v>2559</v>
      </c>
      <c r="G841" s="114" t="b">
        <v>0</v>
      </c>
      <c r="H841" s="114" t="b">
        <v>0</v>
      </c>
      <c r="I841" s="114" t="b">
        <v>0</v>
      </c>
      <c r="J841" s="114" t="b">
        <v>0</v>
      </c>
      <c r="K841" s="114" t="b">
        <v>0</v>
      </c>
      <c r="L841" s="114" t="b">
        <v>0</v>
      </c>
    </row>
    <row r="842" spans="1:12" ht="15">
      <c r="A842" s="114" t="s">
        <v>1801</v>
      </c>
      <c r="B842" s="114" t="s">
        <v>2526</v>
      </c>
      <c r="C842" s="114">
        <v>2</v>
      </c>
      <c r="D842" s="116">
        <v>0.0005352281502286346</v>
      </c>
      <c r="E842" s="116">
        <v>2.653836540961401</v>
      </c>
      <c r="F842" s="114" t="s">
        <v>2559</v>
      </c>
      <c r="G842" s="114" t="b">
        <v>0</v>
      </c>
      <c r="H842" s="114" t="b">
        <v>0</v>
      </c>
      <c r="I842" s="114" t="b">
        <v>0</v>
      </c>
      <c r="J842" s="114" t="b">
        <v>0</v>
      </c>
      <c r="K842" s="114" t="b">
        <v>0</v>
      </c>
      <c r="L842" s="114" t="b">
        <v>0</v>
      </c>
    </row>
    <row r="843" spans="1:12" ht="15">
      <c r="A843" s="114" t="s">
        <v>2111</v>
      </c>
      <c r="B843" s="114" t="s">
        <v>1980</v>
      </c>
      <c r="C843" s="114">
        <v>2</v>
      </c>
      <c r="D843" s="116">
        <v>0.0006112074525163633</v>
      </c>
      <c r="E843" s="116">
        <v>2.884285462339675</v>
      </c>
      <c r="F843" s="114" t="s">
        <v>2559</v>
      </c>
      <c r="G843" s="114" t="b">
        <v>0</v>
      </c>
      <c r="H843" s="114" t="b">
        <v>0</v>
      </c>
      <c r="I843" s="114" t="b">
        <v>0</v>
      </c>
      <c r="J843" s="114" t="b">
        <v>0</v>
      </c>
      <c r="K843" s="114" t="b">
        <v>0</v>
      </c>
      <c r="L843" s="114" t="b">
        <v>0</v>
      </c>
    </row>
    <row r="844" spans="1:12" ht="15">
      <c r="A844" s="114" t="s">
        <v>1749</v>
      </c>
      <c r="B844" s="114" t="s">
        <v>1778</v>
      </c>
      <c r="C844" s="114">
        <v>2</v>
      </c>
      <c r="D844" s="116">
        <v>0.0006112074525163633</v>
      </c>
      <c r="E844" s="116">
        <v>1.0947047501752498</v>
      </c>
      <c r="F844" s="114" t="s">
        <v>2559</v>
      </c>
      <c r="G844" s="114" t="b">
        <v>0</v>
      </c>
      <c r="H844" s="114" t="b">
        <v>0</v>
      </c>
      <c r="I844" s="114" t="b">
        <v>0</v>
      </c>
      <c r="J844" s="114" t="b">
        <v>0</v>
      </c>
      <c r="K844" s="114" t="b">
        <v>0</v>
      </c>
      <c r="L844" s="114" t="b">
        <v>0</v>
      </c>
    </row>
    <row r="845" spans="1:12" ht="15">
      <c r="A845" s="114" t="s">
        <v>2112</v>
      </c>
      <c r="B845" s="114" t="s">
        <v>2010</v>
      </c>
      <c r="C845" s="114">
        <v>2</v>
      </c>
      <c r="D845" s="116">
        <v>0.0005352281502286346</v>
      </c>
      <c r="E845" s="116">
        <v>2.884285462339675</v>
      </c>
      <c r="F845" s="114" t="s">
        <v>2559</v>
      </c>
      <c r="G845" s="114" t="b">
        <v>0</v>
      </c>
      <c r="H845" s="114" t="b">
        <v>0</v>
      </c>
      <c r="I845" s="114" t="b">
        <v>0</v>
      </c>
      <c r="J845" s="114" t="b">
        <v>0</v>
      </c>
      <c r="K845" s="114" t="b">
        <v>0</v>
      </c>
      <c r="L845" s="114" t="b">
        <v>0</v>
      </c>
    </row>
    <row r="846" spans="1:12" ht="15">
      <c r="A846" s="114" t="s">
        <v>2010</v>
      </c>
      <c r="B846" s="114" t="s">
        <v>2112</v>
      </c>
      <c r="C846" s="114">
        <v>2</v>
      </c>
      <c r="D846" s="116">
        <v>0.0005352281502286346</v>
      </c>
      <c r="E846" s="116">
        <v>3.1853154580036565</v>
      </c>
      <c r="F846" s="114" t="s">
        <v>2559</v>
      </c>
      <c r="G846" s="114" t="b">
        <v>0</v>
      </c>
      <c r="H846" s="114" t="b">
        <v>0</v>
      </c>
      <c r="I846" s="114" t="b">
        <v>0</v>
      </c>
      <c r="J846" s="114" t="b">
        <v>0</v>
      </c>
      <c r="K846" s="114" t="b">
        <v>0</v>
      </c>
      <c r="L846" s="114" t="b">
        <v>0</v>
      </c>
    </row>
    <row r="847" spans="1:12" ht="15">
      <c r="A847" s="114" t="s">
        <v>2112</v>
      </c>
      <c r="B847" s="114" t="s">
        <v>2109</v>
      </c>
      <c r="C847" s="114">
        <v>2</v>
      </c>
      <c r="D847" s="116">
        <v>0.0005352281502286346</v>
      </c>
      <c r="E847" s="116">
        <v>2.9811954753477314</v>
      </c>
      <c r="F847" s="114" t="s">
        <v>2559</v>
      </c>
      <c r="G847" s="114" t="b">
        <v>0</v>
      </c>
      <c r="H847" s="114" t="b">
        <v>0</v>
      </c>
      <c r="I847" s="114" t="b">
        <v>0</v>
      </c>
      <c r="J847" s="114" t="b">
        <v>0</v>
      </c>
      <c r="K847" s="114" t="b">
        <v>0</v>
      </c>
      <c r="L847" s="114" t="b">
        <v>0</v>
      </c>
    </row>
    <row r="848" spans="1:12" ht="15">
      <c r="A848" s="114" t="s">
        <v>2109</v>
      </c>
      <c r="B848" s="114" t="s">
        <v>1740</v>
      </c>
      <c r="C848" s="114">
        <v>2</v>
      </c>
      <c r="D848" s="116">
        <v>0.0005352281502286346</v>
      </c>
      <c r="E848" s="116">
        <v>1.0185894024236046</v>
      </c>
      <c r="F848" s="114" t="s">
        <v>2559</v>
      </c>
      <c r="G848" s="114" t="b">
        <v>0</v>
      </c>
      <c r="H848" s="114" t="b">
        <v>0</v>
      </c>
      <c r="I848" s="114" t="b">
        <v>0</v>
      </c>
      <c r="J848" s="114" t="b">
        <v>0</v>
      </c>
      <c r="K848" s="114" t="b">
        <v>0</v>
      </c>
      <c r="L848" s="114" t="b">
        <v>0</v>
      </c>
    </row>
    <row r="849" spans="1:12" ht="15">
      <c r="A849" s="114" t="s">
        <v>1740</v>
      </c>
      <c r="B849" s="114" t="s">
        <v>2039</v>
      </c>
      <c r="C849" s="114">
        <v>2</v>
      </c>
      <c r="D849" s="116">
        <v>0.0005352281502286346</v>
      </c>
      <c r="E849" s="116">
        <v>1.022154083026638</v>
      </c>
      <c r="F849" s="114" t="s">
        <v>2559</v>
      </c>
      <c r="G849" s="114" t="b">
        <v>0</v>
      </c>
      <c r="H849" s="114" t="b">
        <v>0</v>
      </c>
      <c r="I849" s="114" t="b">
        <v>0</v>
      </c>
      <c r="J849" s="114" t="b">
        <v>0</v>
      </c>
      <c r="K849" s="114" t="b">
        <v>0</v>
      </c>
      <c r="L849" s="114" t="b">
        <v>0</v>
      </c>
    </row>
    <row r="850" spans="1:12" ht="15">
      <c r="A850" s="114" t="s">
        <v>2039</v>
      </c>
      <c r="B850" s="114" t="s">
        <v>1740</v>
      </c>
      <c r="C850" s="114">
        <v>2</v>
      </c>
      <c r="D850" s="116">
        <v>0.0005352281502286346</v>
      </c>
      <c r="E850" s="116">
        <v>1.0185894024236046</v>
      </c>
      <c r="F850" s="114" t="s">
        <v>2559</v>
      </c>
      <c r="G850" s="114" t="b">
        <v>0</v>
      </c>
      <c r="H850" s="114" t="b">
        <v>0</v>
      </c>
      <c r="I850" s="114" t="b">
        <v>0</v>
      </c>
      <c r="J850" s="114" t="b">
        <v>0</v>
      </c>
      <c r="K850" s="114" t="b">
        <v>0</v>
      </c>
      <c r="L850" s="114" t="b">
        <v>0</v>
      </c>
    </row>
    <row r="851" spans="1:12" ht="15">
      <c r="A851" s="114" t="s">
        <v>1779</v>
      </c>
      <c r="B851" s="114" t="s">
        <v>1790</v>
      </c>
      <c r="C851" s="114">
        <v>2</v>
      </c>
      <c r="D851" s="116">
        <v>0.0005352281502286346</v>
      </c>
      <c r="E851" s="116">
        <v>1.541862781517469</v>
      </c>
      <c r="F851" s="114" t="s">
        <v>2559</v>
      </c>
      <c r="G851" s="114" t="b">
        <v>0</v>
      </c>
      <c r="H851" s="114" t="b">
        <v>0</v>
      </c>
      <c r="I851" s="114" t="b">
        <v>0</v>
      </c>
      <c r="J851" s="114" t="b">
        <v>0</v>
      </c>
      <c r="K851" s="114" t="b">
        <v>0</v>
      </c>
      <c r="L851" s="114" t="b">
        <v>0</v>
      </c>
    </row>
    <row r="852" spans="1:12" ht="15">
      <c r="A852" s="114" t="s">
        <v>1790</v>
      </c>
      <c r="B852" s="114" t="s">
        <v>1741</v>
      </c>
      <c r="C852" s="114">
        <v>2</v>
      </c>
      <c r="D852" s="116">
        <v>0.0005352281502286346</v>
      </c>
      <c r="E852" s="116">
        <v>0.46268153546984425</v>
      </c>
      <c r="F852" s="114" t="s">
        <v>2559</v>
      </c>
      <c r="G852" s="114" t="b">
        <v>0</v>
      </c>
      <c r="H852" s="114" t="b">
        <v>0</v>
      </c>
      <c r="I852" s="114" t="b">
        <v>0</v>
      </c>
      <c r="J852" s="114" t="b">
        <v>0</v>
      </c>
      <c r="K852" s="114" t="b">
        <v>0</v>
      </c>
      <c r="L852" s="114" t="b">
        <v>0</v>
      </c>
    </row>
    <row r="853" spans="1:12" ht="15">
      <c r="A853" s="114" t="s">
        <v>1884</v>
      </c>
      <c r="B853" s="114" t="s">
        <v>1884</v>
      </c>
      <c r="C853" s="114">
        <v>2</v>
      </c>
      <c r="D853" s="116">
        <v>0.0006112074525163633</v>
      </c>
      <c r="E853" s="116">
        <v>2.2310729485643317</v>
      </c>
      <c r="F853" s="114" t="s">
        <v>2559</v>
      </c>
      <c r="G853" s="114" t="b">
        <v>0</v>
      </c>
      <c r="H853" s="114" t="b">
        <v>0</v>
      </c>
      <c r="I853" s="114" t="b">
        <v>0</v>
      </c>
      <c r="J853" s="114" t="b">
        <v>0</v>
      </c>
      <c r="K853" s="114" t="b">
        <v>0</v>
      </c>
      <c r="L853" s="114" t="b">
        <v>0</v>
      </c>
    </row>
    <row r="854" spans="1:12" ht="15">
      <c r="A854" s="114" t="s">
        <v>1740</v>
      </c>
      <c r="B854" s="114" t="s">
        <v>1884</v>
      </c>
      <c r="C854" s="114">
        <v>2</v>
      </c>
      <c r="D854" s="116">
        <v>0.0006112074525163633</v>
      </c>
      <c r="E854" s="116">
        <v>0.6699715649152757</v>
      </c>
      <c r="F854" s="114" t="s">
        <v>2559</v>
      </c>
      <c r="G854" s="114" t="b">
        <v>0</v>
      </c>
      <c r="H854" s="114" t="b">
        <v>0</v>
      </c>
      <c r="I854" s="114" t="b">
        <v>0</v>
      </c>
      <c r="J854" s="114" t="b">
        <v>0</v>
      </c>
      <c r="K854" s="114" t="b">
        <v>0</v>
      </c>
      <c r="L854" s="114" t="b">
        <v>0</v>
      </c>
    </row>
    <row r="855" spans="1:12" ht="15">
      <c r="A855" s="114" t="s">
        <v>1884</v>
      </c>
      <c r="B855" s="114" t="s">
        <v>2532</v>
      </c>
      <c r="C855" s="114">
        <v>2</v>
      </c>
      <c r="D855" s="116">
        <v>0.0006112074525163633</v>
      </c>
      <c r="E855" s="116">
        <v>2.884285462339675</v>
      </c>
      <c r="F855" s="114" t="s">
        <v>2559</v>
      </c>
      <c r="G855" s="114" t="b">
        <v>0</v>
      </c>
      <c r="H855" s="114" t="b">
        <v>0</v>
      </c>
      <c r="I855" s="114" t="b">
        <v>0</v>
      </c>
      <c r="J855" s="114" t="b">
        <v>0</v>
      </c>
      <c r="K855" s="114" t="b">
        <v>0</v>
      </c>
      <c r="L855" s="114" t="b">
        <v>0</v>
      </c>
    </row>
    <row r="856" spans="1:12" ht="15">
      <c r="A856" s="114" t="s">
        <v>2114</v>
      </c>
      <c r="B856" s="114" t="s">
        <v>1884</v>
      </c>
      <c r="C856" s="114">
        <v>2</v>
      </c>
      <c r="D856" s="116">
        <v>0.0006112074525163633</v>
      </c>
      <c r="E856" s="116">
        <v>2.629012957236369</v>
      </c>
      <c r="F856" s="114" t="s">
        <v>2559</v>
      </c>
      <c r="G856" s="114" t="b">
        <v>0</v>
      </c>
      <c r="H856" s="114" t="b">
        <v>0</v>
      </c>
      <c r="I856" s="114" t="b">
        <v>0</v>
      </c>
      <c r="J856" s="114" t="b">
        <v>0</v>
      </c>
      <c r="K856" s="114" t="b">
        <v>0</v>
      </c>
      <c r="L856" s="114" t="b">
        <v>0</v>
      </c>
    </row>
    <row r="857" spans="1:12" ht="15">
      <c r="A857" s="114" t="s">
        <v>2534</v>
      </c>
      <c r="B857" s="114" t="s">
        <v>2535</v>
      </c>
      <c r="C857" s="114">
        <v>2</v>
      </c>
      <c r="D857" s="116">
        <v>0.0006112074525163633</v>
      </c>
      <c r="E857" s="116">
        <v>3.583255466675694</v>
      </c>
      <c r="F857" s="114" t="s">
        <v>2559</v>
      </c>
      <c r="G857" s="114" t="b">
        <v>0</v>
      </c>
      <c r="H857" s="114" t="b">
        <v>0</v>
      </c>
      <c r="I857" s="114" t="b">
        <v>0</v>
      </c>
      <c r="J857" s="114" t="b">
        <v>0</v>
      </c>
      <c r="K857" s="114" t="b">
        <v>0</v>
      </c>
      <c r="L857" s="114" t="b">
        <v>0</v>
      </c>
    </row>
    <row r="858" spans="1:12" ht="15">
      <c r="A858" s="114" t="s">
        <v>1790</v>
      </c>
      <c r="B858" s="114" t="s">
        <v>1756</v>
      </c>
      <c r="C858" s="114">
        <v>2</v>
      </c>
      <c r="D858" s="116">
        <v>0.0006112074525163633</v>
      </c>
      <c r="E858" s="116">
        <v>1.3160837382726802</v>
      </c>
      <c r="F858" s="114" t="s">
        <v>2559</v>
      </c>
      <c r="G858" s="114" t="b">
        <v>0</v>
      </c>
      <c r="H858" s="114" t="b">
        <v>0</v>
      </c>
      <c r="I858" s="114" t="b">
        <v>0</v>
      </c>
      <c r="J858" s="114" t="b">
        <v>0</v>
      </c>
      <c r="K858" s="114" t="b">
        <v>0</v>
      </c>
      <c r="L858" s="114" t="b">
        <v>0</v>
      </c>
    </row>
    <row r="859" spans="1:12" ht="15">
      <c r="A859" s="114" t="s">
        <v>1756</v>
      </c>
      <c r="B859" s="114" t="s">
        <v>1952</v>
      </c>
      <c r="C859" s="114">
        <v>2</v>
      </c>
      <c r="D859" s="116">
        <v>0.0006112074525163633</v>
      </c>
      <c r="E859" s="116">
        <v>1.8160996005935137</v>
      </c>
      <c r="F859" s="114" t="s">
        <v>2559</v>
      </c>
      <c r="G859" s="114" t="b">
        <v>0</v>
      </c>
      <c r="H859" s="114" t="b">
        <v>0</v>
      </c>
      <c r="I859" s="114" t="b">
        <v>0</v>
      </c>
      <c r="J859" s="114" t="b">
        <v>0</v>
      </c>
      <c r="K859" s="114" t="b">
        <v>0</v>
      </c>
      <c r="L859" s="114" t="b">
        <v>0</v>
      </c>
    </row>
    <row r="860" spans="1:12" ht="15">
      <c r="A860" s="114" t="s">
        <v>1947</v>
      </c>
      <c r="B860" s="114" t="s">
        <v>1756</v>
      </c>
      <c r="C860" s="114">
        <v>2</v>
      </c>
      <c r="D860" s="116">
        <v>0.0006112074525163633</v>
      </c>
      <c r="E860" s="116">
        <v>1.7720156939224048</v>
      </c>
      <c r="F860" s="114" t="s">
        <v>2559</v>
      </c>
      <c r="G860" s="114" t="b">
        <v>0</v>
      </c>
      <c r="H860" s="114" t="b">
        <v>0</v>
      </c>
      <c r="I860" s="114" t="b">
        <v>0</v>
      </c>
      <c r="J860" s="114" t="b">
        <v>0</v>
      </c>
      <c r="K860" s="114" t="b">
        <v>0</v>
      </c>
      <c r="L860" s="114" t="b">
        <v>0</v>
      </c>
    </row>
    <row r="861" spans="1:12" ht="15">
      <c r="A861" s="114" t="s">
        <v>1756</v>
      </c>
      <c r="B861" s="114" t="s">
        <v>2537</v>
      </c>
      <c r="C861" s="114">
        <v>2</v>
      </c>
      <c r="D861" s="116">
        <v>0.0006112074525163633</v>
      </c>
      <c r="E861" s="116">
        <v>2.293220855313176</v>
      </c>
      <c r="F861" s="114" t="s">
        <v>2559</v>
      </c>
      <c r="G861" s="114" t="b">
        <v>0</v>
      </c>
      <c r="H861" s="114" t="b">
        <v>0</v>
      </c>
      <c r="I861" s="114" t="b">
        <v>0</v>
      </c>
      <c r="J861" s="114" t="b">
        <v>0</v>
      </c>
      <c r="K861" s="114" t="b">
        <v>0</v>
      </c>
      <c r="L861" s="114" t="b">
        <v>0</v>
      </c>
    </row>
    <row r="862" spans="1:12" ht="15">
      <c r="A862" s="114" t="s">
        <v>2537</v>
      </c>
      <c r="B862" s="114" t="s">
        <v>1947</v>
      </c>
      <c r="C862" s="114">
        <v>2</v>
      </c>
      <c r="D862" s="116">
        <v>0.0006112074525163633</v>
      </c>
      <c r="E862" s="116">
        <v>3.0391874223254183</v>
      </c>
      <c r="F862" s="114" t="s">
        <v>2559</v>
      </c>
      <c r="G862" s="114" t="b">
        <v>0</v>
      </c>
      <c r="H862" s="114" t="b">
        <v>0</v>
      </c>
      <c r="I862" s="114" t="b">
        <v>0</v>
      </c>
      <c r="J862" s="114" t="b">
        <v>0</v>
      </c>
      <c r="K862" s="114" t="b">
        <v>0</v>
      </c>
      <c r="L862" s="114" t="b">
        <v>0</v>
      </c>
    </row>
    <row r="863" spans="1:12" ht="15">
      <c r="A863" s="114" t="s">
        <v>1814</v>
      </c>
      <c r="B863" s="114" t="s">
        <v>1741</v>
      </c>
      <c r="C863" s="114">
        <v>2</v>
      </c>
      <c r="D863" s="116">
        <v>0.0006112074525163633</v>
      </c>
      <c r="E863" s="116">
        <v>0.6175834954555874</v>
      </c>
      <c r="F863" s="114" t="s">
        <v>2559</v>
      </c>
      <c r="G863" s="114" t="b">
        <v>0</v>
      </c>
      <c r="H863" s="114" t="b">
        <v>0</v>
      </c>
      <c r="I863" s="114" t="b">
        <v>0</v>
      </c>
      <c r="J863" s="114" t="b">
        <v>0</v>
      </c>
      <c r="K863" s="114" t="b">
        <v>0</v>
      </c>
      <c r="L863" s="114" t="b">
        <v>0</v>
      </c>
    </row>
    <row r="864" spans="1:12" ht="15">
      <c r="A864" s="114" t="s">
        <v>2079</v>
      </c>
      <c r="B864" s="114" t="s">
        <v>2538</v>
      </c>
      <c r="C864" s="114">
        <v>2</v>
      </c>
      <c r="D864" s="116">
        <v>0.0005352281502286346</v>
      </c>
      <c r="E864" s="116">
        <v>3.2822254710117127</v>
      </c>
      <c r="F864" s="114" t="s">
        <v>2559</v>
      </c>
      <c r="G864" s="114" t="b">
        <v>0</v>
      </c>
      <c r="H864" s="114" t="b">
        <v>0</v>
      </c>
      <c r="I864" s="114" t="b">
        <v>0</v>
      </c>
      <c r="J864" s="114" t="b">
        <v>0</v>
      </c>
      <c r="K864" s="114" t="b">
        <v>0</v>
      </c>
      <c r="L864" s="114" t="b">
        <v>0</v>
      </c>
    </row>
    <row r="865" spans="1:12" ht="15">
      <c r="A865" s="114" t="s">
        <v>1754</v>
      </c>
      <c r="B865" s="114" t="s">
        <v>1832</v>
      </c>
      <c r="C865" s="114">
        <v>2</v>
      </c>
      <c r="D865" s="116">
        <v>0.0005352281502286346</v>
      </c>
      <c r="E865" s="116">
        <v>1.4803074986703204</v>
      </c>
      <c r="F865" s="114" t="s">
        <v>2559</v>
      </c>
      <c r="G865" s="114" t="b">
        <v>0</v>
      </c>
      <c r="H865" s="114" t="b">
        <v>0</v>
      </c>
      <c r="I865" s="114" t="b">
        <v>0</v>
      </c>
      <c r="J865" s="114" t="b">
        <v>0</v>
      </c>
      <c r="K865" s="114" t="b">
        <v>0</v>
      </c>
      <c r="L865" s="114" t="b">
        <v>0</v>
      </c>
    </row>
    <row r="866" spans="1:12" ht="15">
      <c r="A866" s="114" t="s">
        <v>2118</v>
      </c>
      <c r="B866" s="114" t="s">
        <v>2118</v>
      </c>
      <c r="C866" s="114">
        <v>2</v>
      </c>
      <c r="D866" s="116">
        <v>0.0006112074525163633</v>
      </c>
      <c r="E866" s="116">
        <v>2.9811954753477314</v>
      </c>
      <c r="F866" s="114" t="s">
        <v>2559</v>
      </c>
      <c r="G866" s="114" t="b">
        <v>0</v>
      </c>
      <c r="H866" s="114" t="b">
        <v>0</v>
      </c>
      <c r="I866" s="114" t="b">
        <v>0</v>
      </c>
      <c r="J866" s="114" t="b">
        <v>0</v>
      </c>
      <c r="K866" s="114" t="b">
        <v>0</v>
      </c>
      <c r="L866" s="114" t="b">
        <v>0</v>
      </c>
    </row>
    <row r="867" spans="1:12" ht="15">
      <c r="A867" s="114" t="s">
        <v>2541</v>
      </c>
      <c r="B867" s="114" t="s">
        <v>2542</v>
      </c>
      <c r="C867" s="114">
        <v>2</v>
      </c>
      <c r="D867" s="116">
        <v>0.0005352281502286346</v>
      </c>
      <c r="E867" s="116">
        <v>3.583255466675694</v>
      </c>
      <c r="F867" s="114" t="s">
        <v>2559</v>
      </c>
      <c r="G867" s="114" t="b">
        <v>0</v>
      </c>
      <c r="H867" s="114" t="b">
        <v>0</v>
      </c>
      <c r="I867" s="114" t="b">
        <v>0</v>
      </c>
      <c r="J867" s="114" t="b">
        <v>0</v>
      </c>
      <c r="K867" s="114" t="b">
        <v>0</v>
      </c>
      <c r="L867" s="114" t="b">
        <v>0</v>
      </c>
    </row>
    <row r="868" spans="1:12" ht="15">
      <c r="A868" s="114" t="s">
        <v>2543</v>
      </c>
      <c r="B868" s="114" t="s">
        <v>2544</v>
      </c>
      <c r="C868" s="114">
        <v>2</v>
      </c>
      <c r="D868" s="116">
        <v>0.0006112074525163633</v>
      </c>
      <c r="E868" s="116">
        <v>3.583255466675694</v>
      </c>
      <c r="F868" s="114" t="s">
        <v>2559</v>
      </c>
      <c r="G868" s="114" t="b">
        <v>0</v>
      </c>
      <c r="H868" s="114" t="b">
        <v>0</v>
      </c>
      <c r="I868" s="114" t="b">
        <v>0</v>
      </c>
      <c r="J868" s="114" t="b">
        <v>0</v>
      </c>
      <c r="K868" s="114" t="b">
        <v>0</v>
      </c>
      <c r="L868" s="114" t="b">
        <v>0</v>
      </c>
    </row>
    <row r="869" spans="1:12" ht="15">
      <c r="A869" s="114" t="s">
        <v>2263</v>
      </c>
      <c r="B869" s="114" t="s">
        <v>2017</v>
      </c>
      <c r="C869" s="114">
        <v>2</v>
      </c>
      <c r="D869" s="116">
        <v>0.0006112074525163633</v>
      </c>
      <c r="E869" s="116">
        <v>3.009224198947975</v>
      </c>
      <c r="F869" s="114" t="s">
        <v>2559</v>
      </c>
      <c r="G869" s="114" t="b">
        <v>0</v>
      </c>
      <c r="H869" s="114" t="b">
        <v>0</v>
      </c>
      <c r="I869" s="114" t="b">
        <v>0</v>
      </c>
      <c r="J869" s="114" t="b">
        <v>0</v>
      </c>
      <c r="K869" s="114" t="b">
        <v>0</v>
      </c>
      <c r="L869" s="114" t="b">
        <v>0</v>
      </c>
    </row>
    <row r="870" spans="1:12" ht="15">
      <c r="A870" s="114" t="s">
        <v>1862</v>
      </c>
      <c r="B870" s="114" t="s">
        <v>1778</v>
      </c>
      <c r="C870" s="114">
        <v>2</v>
      </c>
      <c r="D870" s="116">
        <v>0.0006112074525163633</v>
      </c>
      <c r="E870" s="116">
        <v>1.8015000920232251</v>
      </c>
      <c r="F870" s="114" t="s">
        <v>2559</v>
      </c>
      <c r="G870" s="114" t="b">
        <v>0</v>
      </c>
      <c r="H870" s="114" t="b">
        <v>0</v>
      </c>
      <c r="I870" s="114" t="b">
        <v>0</v>
      </c>
      <c r="J870" s="114" t="b">
        <v>0</v>
      </c>
      <c r="K870" s="114" t="b">
        <v>0</v>
      </c>
      <c r="L870" s="114" t="b">
        <v>0</v>
      </c>
    </row>
    <row r="871" spans="1:12" ht="15">
      <c r="A871" s="114" t="s">
        <v>2024</v>
      </c>
      <c r="B871" s="114" t="s">
        <v>2119</v>
      </c>
      <c r="C871" s="114">
        <v>2</v>
      </c>
      <c r="D871" s="116">
        <v>0.0006112074525163633</v>
      </c>
      <c r="E871" s="116">
        <v>2.884285462339675</v>
      </c>
      <c r="F871" s="114" t="s">
        <v>2559</v>
      </c>
      <c r="G871" s="114" t="b">
        <v>0</v>
      </c>
      <c r="H871" s="114" t="b">
        <v>0</v>
      </c>
      <c r="I871" s="114" t="b">
        <v>0</v>
      </c>
      <c r="J871" s="114" t="b">
        <v>0</v>
      </c>
      <c r="K871" s="114" t="b">
        <v>0</v>
      </c>
      <c r="L871" s="114" t="b">
        <v>0</v>
      </c>
    </row>
    <row r="872" spans="1:12" ht="15">
      <c r="A872" s="114" t="s">
        <v>2119</v>
      </c>
      <c r="B872" s="114" t="s">
        <v>2024</v>
      </c>
      <c r="C872" s="114">
        <v>2</v>
      </c>
      <c r="D872" s="116">
        <v>0.0006112074525163633</v>
      </c>
      <c r="E872" s="116">
        <v>2.884285462339675</v>
      </c>
      <c r="F872" s="114" t="s">
        <v>2559</v>
      </c>
      <c r="G872" s="114" t="b">
        <v>0</v>
      </c>
      <c r="H872" s="114" t="b">
        <v>0</v>
      </c>
      <c r="I872" s="114" t="b">
        <v>0</v>
      </c>
      <c r="J872" s="114" t="b">
        <v>0</v>
      </c>
      <c r="K872" s="114" t="b">
        <v>0</v>
      </c>
      <c r="L872" s="114" t="b">
        <v>0</v>
      </c>
    </row>
    <row r="873" spans="1:12" ht="15">
      <c r="A873" s="114" t="s">
        <v>1953</v>
      </c>
      <c r="B873" s="114" t="s">
        <v>1907</v>
      </c>
      <c r="C873" s="114">
        <v>2</v>
      </c>
      <c r="D873" s="116">
        <v>0.0006112074525163633</v>
      </c>
      <c r="E873" s="116">
        <v>2.437127430997456</v>
      </c>
      <c r="F873" s="114" t="s">
        <v>2559</v>
      </c>
      <c r="G873" s="114" t="b">
        <v>0</v>
      </c>
      <c r="H873" s="114" t="b">
        <v>0</v>
      </c>
      <c r="I873" s="114" t="b">
        <v>0</v>
      </c>
      <c r="J873" s="114" t="b">
        <v>0</v>
      </c>
      <c r="K873" s="114" t="b">
        <v>0</v>
      </c>
      <c r="L873" s="114" t="b">
        <v>0</v>
      </c>
    </row>
    <row r="874" spans="1:12" ht="15">
      <c r="A874" s="114" t="s">
        <v>1953</v>
      </c>
      <c r="B874" s="114" t="s">
        <v>1767</v>
      </c>
      <c r="C874" s="114">
        <v>2</v>
      </c>
      <c r="D874" s="116">
        <v>0.0006112074525163633</v>
      </c>
      <c r="E874" s="116">
        <v>1.9252440700185816</v>
      </c>
      <c r="F874" s="114" t="s">
        <v>2559</v>
      </c>
      <c r="G874" s="114" t="b">
        <v>0</v>
      </c>
      <c r="H874" s="114" t="b">
        <v>0</v>
      </c>
      <c r="I874" s="114" t="b">
        <v>0</v>
      </c>
      <c r="J874" s="114" t="b">
        <v>0</v>
      </c>
      <c r="K874" s="114" t="b">
        <v>0</v>
      </c>
      <c r="L874" s="114" t="b">
        <v>0</v>
      </c>
    </row>
    <row r="875" spans="1:12" ht="15">
      <c r="A875" s="114" t="s">
        <v>1772</v>
      </c>
      <c r="B875" s="114" t="s">
        <v>2548</v>
      </c>
      <c r="C875" s="114">
        <v>2</v>
      </c>
      <c r="D875" s="116">
        <v>0.0006112074525163633</v>
      </c>
      <c r="E875" s="116">
        <v>2.5040742206280693</v>
      </c>
      <c r="F875" s="114" t="s">
        <v>2559</v>
      </c>
      <c r="G875" s="114" t="b">
        <v>0</v>
      </c>
      <c r="H875" s="114" t="b">
        <v>0</v>
      </c>
      <c r="I875" s="114" t="b">
        <v>0</v>
      </c>
      <c r="J875" s="114" t="b">
        <v>1</v>
      </c>
      <c r="K875" s="114" t="b">
        <v>0</v>
      </c>
      <c r="L875" s="114" t="b">
        <v>0</v>
      </c>
    </row>
    <row r="876" spans="1:12" ht="15">
      <c r="A876" s="114" t="s">
        <v>1791</v>
      </c>
      <c r="B876" s="114" t="s">
        <v>1907</v>
      </c>
      <c r="C876" s="114">
        <v>2</v>
      </c>
      <c r="D876" s="116">
        <v>0.0006112074525163633</v>
      </c>
      <c r="E876" s="116">
        <v>2.003471870058884</v>
      </c>
      <c r="F876" s="114" t="s">
        <v>2559</v>
      </c>
      <c r="G876" s="114" t="b">
        <v>0</v>
      </c>
      <c r="H876" s="114" t="b">
        <v>0</v>
      </c>
      <c r="I876" s="114" t="b">
        <v>0</v>
      </c>
      <c r="J876" s="114" t="b">
        <v>0</v>
      </c>
      <c r="K876" s="114" t="b">
        <v>0</v>
      </c>
      <c r="L876" s="114" t="b">
        <v>0</v>
      </c>
    </row>
    <row r="877" spans="1:12" ht="15">
      <c r="A877" s="114" t="s">
        <v>2551</v>
      </c>
      <c r="B877" s="114" t="s">
        <v>2552</v>
      </c>
      <c r="C877" s="114">
        <v>2</v>
      </c>
      <c r="D877" s="116">
        <v>0.0006112074525163633</v>
      </c>
      <c r="E877" s="116">
        <v>3.583255466675694</v>
      </c>
      <c r="F877" s="114" t="s">
        <v>2559</v>
      </c>
      <c r="G877" s="114" t="b">
        <v>0</v>
      </c>
      <c r="H877" s="114" t="b">
        <v>0</v>
      </c>
      <c r="I877" s="114" t="b">
        <v>0</v>
      </c>
      <c r="J877" s="114" t="b">
        <v>0</v>
      </c>
      <c r="K877" s="114" t="b">
        <v>0</v>
      </c>
      <c r="L877" s="114" t="b">
        <v>0</v>
      </c>
    </row>
    <row r="878" spans="1:12" ht="15">
      <c r="A878" s="114" t="s">
        <v>2139</v>
      </c>
      <c r="B878" s="114" t="s">
        <v>1927</v>
      </c>
      <c r="C878" s="114">
        <v>2</v>
      </c>
      <c r="D878" s="116">
        <v>0.0006112074525163633</v>
      </c>
      <c r="E878" s="116">
        <v>2.8051042162920505</v>
      </c>
      <c r="F878" s="114" t="s">
        <v>2559</v>
      </c>
      <c r="G878" s="114" t="b">
        <v>0</v>
      </c>
      <c r="H878" s="114" t="b">
        <v>0</v>
      </c>
      <c r="I878" s="114" t="b">
        <v>0</v>
      </c>
      <c r="J878" s="114" t="b">
        <v>0</v>
      </c>
      <c r="K878" s="114" t="b">
        <v>0</v>
      </c>
      <c r="L878" s="114" t="b">
        <v>0</v>
      </c>
    </row>
    <row r="879" spans="1:12" ht="15">
      <c r="A879" s="114" t="s">
        <v>1927</v>
      </c>
      <c r="B879" s="114" t="s">
        <v>1927</v>
      </c>
      <c r="C879" s="114">
        <v>2</v>
      </c>
      <c r="D879" s="116">
        <v>0.0006112074525163633</v>
      </c>
      <c r="E879" s="116">
        <v>2.3791354840197694</v>
      </c>
      <c r="F879" s="114" t="s">
        <v>2559</v>
      </c>
      <c r="G879" s="114" t="b">
        <v>0</v>
      </c>
      <c r="H879" s="114" t="b">
        <v>0</v>
      </c>
      <c r="I879" s="114" t="b">
        <v>0</v>
      </c>
      <c r="J879" s="114" t="b">
        <v>0</v>
      </c>
      <c r="K879" s="114" t="b">
        <v>0</v>
      </c>
      <c r="L879" s="114" t="b">
        <v>0</v>
      </c>
    </row>
    <row r="880" spans="1:12" ht="15">
      <c r="A880" s="114" t="s">
        <v>2016</v>
      </c>
      <c r="B880" s="114" t="s">
        <v>1863</v>
      </c>
      <c r="C880" s="114">
        <v>2</v>
      </c>
      <c r="D880" s="116">
        <v>0.0006112074525163633</v>
      </c>
      <c r="E880" s="116">
        <v>2.4863454536676377</v>
      </c>
      <c r="F880" s="114" t="s">
        <v>2559</v>
      </c>
      <c r="G880" s="114" t="b">
        <v>0</v>
      </c>
      <c r="H880" s="114" t="b">
        <v>0</v>
      </c>
      <c r="I880" s="114" t="b">
        <v>0</v>
      </c>
      <c r="J880" s="114" t="b">
        <v>0</v>
      </c>
      <c r="K880" s="114" t="b">
        <v>0</v>
      </c>
      <c r="L880" s="114" t="b">
        <v>0</v>
      </c>
    </row>
    <row r="881" spans="1:12" ht="15">
      <c r="A881" s="114" t="s">
        <v>2265</v>
      </c>
      <c r="B881" s="114" t="s">
        <v>1852</v>
      </c>
      <c r="C881" s="114">
        <v>2</v>
      </c>
      <c r="D881" s="116">
        <v>0.0006112074525163633</v>
      </c>
      <c r="E881" s="116">
        <v>2.666801518125769</v>
      </c>
      <c r="F881" s="114" t="s">
        <v>2559</v>
      </c>
      <c r="G881" s="114" t="b">
        <v>0</v>
      </c>
      <c r="H881" s="114" t="b">
        <v>0</v>
      </c>
      <c r="I881" s="114" t="b">
        <v>0</v>
      </c>
      <c r="J881" s="114" t="b">
        <v>0</v>
      </c>
      <c r="K881" s="114" t="b">
        <v>0</v>
      </c>
      <c r="L881" s="114" t="b">
        <v>0</v>
      </c>
    </row>
    <row r="882" spans="1:12" ht="15">
      <c r="A882" s="114" t="s">
        <v>2553</v>
      </c>
      <c r="B882" s="114" t="s">
        <v>1774</v>
      </c>
      <c r="C882" s="114">
        <v>2</v>
      </c>
      <c r="D882" s="116">
        <v>0.0006112074525163633</v>
      </c>
      <c r="E882" s="116">
        <v>2.5225576263220826</v>
      </c>
      <c r="F882" s="114" t="s">
        <v>2559</v>
      </c>
      <c r="G882" s="114" t="b">
        <v>0</v>
      </c>
      <c r="H882" s="114" t="b">
        <v>0</v>
      </c>
      <c r="I882" s="114" t="b">
        <v>0</v>
      </c>
      <c r="J882" s="114" t="b">
        <v>0</v>
      </c>
      <c r="K882" s="114" t="b">
        <v>1</v>
      </c>
      <c r="L882" s="114" t="b">
        <v>0</v>
      </c>
    </row>
    <row r="883" spans="1:12" ht="15">
      <c r="A883" s="114" t="s">
        <v>1741</v>
      </c>
      <c r="B883" s="114" t="s">
        <v>1743</v>
      </c>
      <c r="C883" s="114">
        <v>50</v>
      </c>
      <c r="D883" s="116">
        <v>0.010142811173794923</v>
      </c>
      <c r="E883" s="116">
        <v>1.3772111442556974</v>
      </c>
      <c r="F883" s="114" t="s">
        <v>1707</v>
      </c>
      <c r="G883" s="114" t="b">
        <v>0</v>
      </c>
      <c r="H883" s="114" t="b">
        <v>0</v>
      </c>
      <c r="I883" s="114" t="b">
        <v>0</v>
      </c>
      <c r="J883" s="114" t="b">
        <v>0</v>
      </c>
      <c r="K883" s="114" t="b">
        <v>0</v>
      </c>
      <c r="L883" s="114" t="b">
        <v>0</v>
      </c>
    </row>
    <row r="884" spans="1:12" ht="15">
      <c r="A884" s="114" t="s">
        <v>1739</v>
      </c>
      <c r="B884" s="114" t="s">
        <v>1739</v>
      </c>
      <c r="C884" s="114">
        <v>26</v>
      </c>
      <c r="D884" s="116">
        <v>0.010717865681186144</v>
      </c>
      <c r="E884" s="116">
        <v>0.2225025191070557</v>
      </c>
      <c r="F884" s="114" t="s">
        <v>1707</v>
      </c>
      <c r="G884" s="114" t="b">
        <v>0</v>
      </c>
      <c r="H884" s="114" t="b">
        <v>0</v>
      </c>
      <c r="I884" s="114" t="b">
        <v>0</v>
      </c>
      <c r="J884" s="114" t="b">
        <v>0</v>
      </c>
      <c r="K884" s="114" t="b">
        <v>0</v>
      </c>
      <c r="L884" s="114" t="b">
        <v>0</v>
      </c>
    </row>
    <row r="885" spans="1:12" ht="15">
      <c r="A885" s="114" t="s">
        <v>1762</v>
      </c>
      <c r="B885" s="114" t="s">
        <v>1740</v>
      </c>
      <c r="C885" s="114">
        <v>26</v>
      </c>
      <c r="D885" s="116">
        <v>0.014053591677096714</v>
      </c>
      <c r="E885" s="116">
        <v>1.048169539707713</v>
      </c>
      <c r="F885" s="114" t="s">
        <v>1707</v>
      </c>
      <c r="G885" s="114" t="b">
        <v>0</v>
      </c>
      <c r="H885" s="114" t="b">
        <v>0</v>
      </c>
      <c r="I885" s="114" t="b">
        <v>0</v>
      </c>
      <c r="J885" s="114" t="b">
        <v>0</v>
      </c>
      <c r="K885" s="114" t="b">
        <v>0</v>
      </c>
      <c r="L885" s="114" t="b">
        <v>0</v>
      </c>
    </row>
    <row r="886" spans="1:12" ht="15">
      <c r="A886" s="114" t="s">
        <v>1740</v>
      </c>
      <c r="B886" s="114" t="s">
        <v>1740</v>
      </c>
      <c r="C886" s="114">
        <v>24</v>
      </c>
      <c r="D886" s="116">
        <v>0.010542711497030862</v>
      </c>
      <c r="E886" s="116">
        <v>0.43441274618923226</v>
      </c>
      <c r="F886" s="114" t="s">
        <v>1707</v>
      </c>
      <c r="G886" s="114" t="b">
        <v>0</v>
      </c>
      <c r="H886" s="114" t="b">
        <v>0</v>
      </c>
      <c r="I886" s="114" t="b">
        <v>0</v>
      </c>
      <c r="J886" s="114" t="b">
        <v>0</v>
      </c>
      <c r="K886" s="114" t="b">
        <v>0</v>
      </c>
      <c r="L886" s="114" t="b">
        <v>0</v>
      </c>
    </row>
    <row r="887" spans="1:12" ht="15">
      <c r="A887" s="114" t="s">
        <v>1739</v>
      </c>
      <c r="B887" s="114" t="s">
        <v>1742</v>
      </c>
      <c r="C887" s="114">
        <v>19</v>
      </c>
      <c r="D887" s="116">
        <v>0.008346313268482767</v>
      </c>
      <c r="E887" s="116">
        <v>0.44946067450189237</v>
      </c>
      <c r="F887" s="114" t="s">
        <v>1707</v>
      </c>
      <c r="G887" s="114" t="b">
        <v>0</v>
      </c>
      <c r="H887" s="114" t="b">
        <v>0</v>
      </c>
      <c r="I887" s="114" t="b">
        <v>0</v>
      </c>
      <c r="J887" s="114" t="b">
        <v>0</v>
      </c>
      <c r="K887" s="114" t="b">
        <v>0</v>
      </c>
      <c r="L887" s="114" t="b">
        <v>0</v>
      </c>
    </row>
    <row r="888" spans="1:12" ht="15">
      <c r="A888" s="114" t="s">
        <v>1740</v>
      </c>
      <c r="B888" s="114" t="s">
        <v>1739</v>
      </c>
      <c r="C888" s="114">
        <v>16</v>
      </c>
      <c r="D888" s="116">
        <v>0.007506984036563582</v>
      </c>
      <c r="E888" s="116">
        <v>0.1577771894704005</v>
      </c>
      <c r="F888" s="114" t="s">
        <v>1707</v>
      </c>
      <c r="G888" s="114" t="b">
        <v>0</v>
      </c>
      <c r="H888" s="114" t="b">
        <v>0</v>
      </c>
      <c r="I888" s="114" t="b">
        <v>0</v>
      </c>
      <c r="J888" s="114" t="b">
        <v>0</v>
      </c>
      <c r="K888" s="114" t="b">
        <v>0</v>
      </c>
      <c r="L888" s="114" t="b">
        <v>0</v>
      </c>
    </row>
    <row r="889" spans="1:12" ht="15">
      <c r="A889" s="114" t="s">
        <v>1797</v>
      </c>
      <c r="B889" s="114" t="s">
        <v>1797</v>
      </c>
      <c r="C889" s="114">
        <v>12</v>
      </c>
      <c r="D889" s="116">
        <v>0.007011345941584892</v>
      </c>
      <c r="E889" s="116">
        <v>1.7397773868693946</v>
      </c>
      <c r="F889" s="114" t="s">
        <v>1707</v>
      </c>
      <c r="G889" s="114" t="b">
        <v>0</v>
      </c>
      <c r="H889" s="114" t="b">
        <v>0</v>
      </c>
      <c r="I889" s="114" t="b">
        <v>0</v>
      </c>
      <c r="J889" s="114" t="b">
        <v>0</v>
      </c>
      <c r="K889" s="114" t="b">
        <v>0</v>
      </c>
      <c r="L889" s="114" t="b">
        <v>0</v>
      </c>
    </row>
    <row r="890" spans="1:12" ht="15">
      <c r="A890" s="114" t="s">
        <v>1742</v>
      </c>
      <c r="B890" s="114" t="s">
        <v>1741</v>
      </c>
      <c r="C890" s="114">
        <v>11</v>
      </c>
      <c r="D890" s="116">
        <v>0.005945750324925533</v>
      </c>
      <c r="E890" s="116">
        <v>0.6659911727084761</v>
      </c>
      <c r="F890" s="114" t="s">
        <v>1707</v>
      </c>
      <c r="G890" s="114" t="b">
        <v>0</v>
      </c>
      <c r="H890" s="114" t="b">
        <v>0</v>
      </c>
      <c r="I890" s="114" t="b">
        <v>0</v>
      </c>
      <c r="J890" s="114" t="b">
        <v>0</v>
      </c>
      <c r="K890" s="114" t="b">
        <v>0</v>
      </c>
      <c r="L890" s="114" t="b">
        <v>0</v>
      </c>
    </row>
    <row r="891" spans="1:12" ht="15">
      <c r="A891" s="114" t="s">
        <v>1743</v>
      </c>
      <c r="B891" s="114" t="s">
        <v>1742</v>
      </c>
      <c r="C891" s="114">
        <v>11</v>
      </c>
      <c r="D891" s="116">
        <v>0.005161051525137463</v>
      </c>
      <c r="E891" s="116">
        <v>0.7006504752077326</v>
      </c>
      <c r="F891" s="114" t="s">
        <v>1707</v>
      </c>
      <c r="G891" s="114" t="b">
        <v>0</v>
      </c>
      <c r="H891" s="114" t="b">
        <v>0</v>
      </c>
      <c r="I891" s="114" t="b">
        <v>0</v>
      </c>
      <c r="J891" s="114" t="b">
        <v>0</v>
      </c>
      <c r="K891" s="114" t="b">
        <v>0</v>
      </c>
      <c r="L891" s="114" t="b">
        <v>0</v>
      </c>
    </row>
    <row r="892" spans="1:12" ht="15">
      <c r="A892" s="114" t="s">
        <v>1841</v>
      </c>
      <c r="B892" s="114" t="s">
        <v>1842</v>
      </c>
      <c r="C892" s="114">
        <v>11</v>
      </c>
      <c r="D892" s="116">
        <v>0.005945750324925533</v>
      </c>
      <c r="E892" s="116">
        <v>2.129748465870157</v>
      </c>
      <c r="F892" s="114" t="s">
        <v>1707</v>
      </c>
      <c r="G892" s="114" t="b">
        <v>0</v>
      </c>
      <c r="H892" s="114" t="b">
        <v>0</v>
      </c>
      <c r="I892" s="114" t="b">
        <v>0</v>
      </c>
      <c r="J892" s="114" t="b">
        <v>0</v>
      </c>
      <c r="K892" s="114" t="b">
        <v>0</v>
      </c>
      <c r="L892" s="114" t="b">
        <v>0</v>
      </c>
    </row>
    <row r="893" spans="1:12" ht="15">
      <c r="A893" s="114" t="s">
        <v>1759</v>
      </c>
      <c r="B893" s="114" t="s">
        <v>1740</v>
      </c>
      <c r="C893" s="114">
        <v>10</v>
      </c>
      <c r="D893" s="116">
        <v>0.005842788284654077</v>
      </c>
      <c r="E893" s="116">
        <v>0.8168405886830222</v>
      </c>
      <c r="F893" s="114" t="s">
        <v>1707</v>
      </c>
      <c r="G893" s="114" t="b">
        <v>0</v>
      </c>
      <c r="H893" s="114" t="b">
        <v>0</v>
      </c>
      <c r="I893" s="114" t="b">
        <v>0</v>
      </c>
      <c r="J893" s="114" t="b">
        <v>0</v>
      </c>
      <c r="K893" s="114" t="b">
        <v>0</v>
      </c>
      <c r="L893" s="114" t="b">
        <v>0</v>
      </c>
    </row>
    <row r="894" spans="1:12" ht="15">
      <c r="A894" s="114" t="s">
        <v>1750</v>
      </c>
      <c r="B894" s="114" t="s">
        <v>1739</v>
      </c>
      <c r="C894" s="114">
        <v>9</v>
      </c>
      <c r="D894" s="116">
        <v>0.004523575711433964</v>
      </c>
      <c r="E894" s="116">
        <v>0.8031643657337877</v>
      </c>
      <c r="F894" s="114" t="s">
        <v>1707</v>
      </c>
      <c r="G894" s="114" t="b">
        <v>0</v>
      </c>
      <c r="H894" s="114" t="b">
        <v>0</v>
      </c>
      <c r="I894" s="114" t="b">
        <v>0</v>
      </c>
      <c r="J894" s="114" t="b">
        <v>0</v>
      </c>
      <c r="K894" s="114" t="b">
        <v>0</v>
      </c>
      <c r="L894" s="114" t="b">
        <v>0</v>
      </c>
    </row>
    <row r="895" spans="1:12" ht="15">
      <c r="A895" s="114" t="s">
        <v>1739</v>
      </c>
      <c r="B895" s="114" t="s">
        <v>1748</v>
      </c>
      <c r="C895" s="114">
        <v>9</v>
      </c>
      <c r="D895" s="116">
        <v>0.004222678520567015</v>
      </c>
      <c r="E895" s="116">
        <v>0.7617716805755625</v>
      </c>
      <c r="F895" s="114" t="s">
        <v>1707</v>
      </c>
      <c r="G895" s="114" t="b">
        <v>0</v>
      </c>
      <c r="H895" s="114" t="b">
        <v>0</v>
      </c>
      <c r="I895" s="114" t="b">
        <v>0</v>
      </c>
      <c r="J895" s="114" t="b">
        <v>0</v>
      </c>
      <c r="K895" s="114" t="b">
        <v>0</v>
      </c>
      <c r="L895" s="114" t="b">
        <v>0</v>
      </c>
    </row>
    <row r="896" spans="1:12" ht="15">
      <c r="A896" s="114" t="s">
        <v>1766</v>
      </c>
      <c r="B896" s="114" t="s">
        <v>1740</v>
      </c>
      <c r="C896" s="114">
        <v>9</v>
      </c>
      <c r="D896" s="116">
        <v>0.004523575711433964</v>
      </c>
      <c r="E896" s="116">
        <v>1.0955941896358512</v>
      </c>
      <c r="F896" s="114" t="s">
        <v>1707</v>
      </c>
      <c r="G896" s="114" t="b">
        <v>0</v>
      </c>
      <c r="H896" s="114" t="b">
        <v>1</v>
      </c>
      <c r="I896" s="114" t="b">
        <v>0</v>
      </c>
      <c r="J896" s="114" t="b">
        <v>0</v>
      </c>
      <c r="K896" s="114" t="b">
        <v>0</v>
      </c>
      <c r="L896" s="114" t="b">
        <v>0</v>
      </c>
    </row>
    <row r="897" spans="1:12" ht="15">
      <c r="A897" s="114" t="s">
        <v>1759</v>
      </c>
      <c r="B897" s="114" t="s">
        <v>1762</v>
      </c>
      <c r="C897" s="114">
        <v>9</v>
      </c>
      <c r="D897" s="116">
        <v>0.005724281491762934</v>
      </c>
      <c r="E897" s="116">
        <v>1.5042073786926717</v>
      </c>
      <c r="F897" s="114" t="s">
        <v>1707</v>
      </c>
      <c r="G897" s="114" t="b">
        <v>0</v>
      </c>
      <c r="H897" s="114" t="b">
        <v>0</v>
      </c>
      <c r="I897" s="114" t="b">
        <v>0</v>
      </c>
      <c r="J897" s="114" t="b">
        <v>0</v>
      </c>
      <c r="K897" s="114" t="b">
        <v>0</v>
      </c>
      <c r="L897" s="114" t="b">
        <v>0</v>
      </c>
    </row>
    <row r="898" spans="1:12" ht="15">
      <c r="A898" s="114" t="s">
        <v>1739</v>
      </c>
      <c r="B898" s="114" t="s">
        <v>1740</v>
      </c>
      <c r="C898" s="114">
        <v>8</v>
      </c>
      <c r="D898" s="116">
        <v>0.005088250214900385</v>
      </c>
      <c r="E898" s="116">
        <v>-0.18883654420866816</v>
      </c>
      <c r="F898" s="114" t="s">
        <v>1707</v>
      </c>
      <c r="G898" s="114" t="b">
        <v>0</v>
      </c>
      <c r="H898" s="114" t="b">
        <v>0</v>
      </c>
      <c r="I898" s="114" t="b">
        <v>0</v>
      </c>
      <c r="J898" s="114" t="b">
        <v>0</v>
      </c>
      <c r="K898" s="114" t="b">
        <v>0</v>
      </c>
      <c r="L898" s="114" t="b">
        <v>0</v>
      </c>
    </row>
    <row r="899" spans="1:12" ht="15">
      <c r="A899" s="114" t="s">
        <v>1739</v>
      </c>
      <c r="B899" s="114" t="s">
        <v>1751</v>
      </c>
      <c r="C899" s="114">
        <v>8</v>
      </c>
      <c r="D899" s="116">
        <v>0.004324182054491297</v>
      </c>
      <c r="E899" s="116">
        <v>0.7106191581281813</v>
      </c>
      <c r="F899" s="114" t="s">
        <v>1707</v>
      </c>
      <c r="G899" s="114" t="b">
        <v>0</v>
      </c>
      <c r="H899" s="114" t="b">
        <v>0</v>
      </c>
      <c r="I899" s="114" t="b">
        <v>0</v>
      </c>
      <c r="J899" s="114" t="b">
        <v>0</v>
      </c>
      <c r="K899" s="114" t="b">
        <v>1</v>
      </c>
      <c r="L899" s="114" t="b">
        <v>0</v>
      </c>
    </row>
    <row r="900" spans="1:12" ht="15">
      <c r="A900" s="114" t="s">
        <v>1740</v>
      </c>
      <c r="B900" s="114" t="s">
        <v>1841</v>
      </c>
      <c r="C900" s="114">
        <v>8</v>
      </c>
      <c r="D900" s="116">
        <v>0.005594969237164731</v>
      </c>
      <c r="E900" s="116">
        <v>0.9914457677038756</v>
      </c>
      <c r="F900" s="114" t="s">
        <v>1707</v>
      </c>
      <c r="G900" s="114" t="b">
        <v>0</v>
      </c>
      <c r="H900" s="114" t="b">
        <v>0</v>
      </c>
      <c r="I900" s="114" t="b">
        <v>0</v>
      </c>
      <c r="J900" s="114" t="b">
        <v>0</v>
      </c>
      <c r="K900" s="114" t="b">
        <v>0</v>
      </c>
      <c r="L900" s="114" t="b">
        <v>0</v>
      </c>
    </row>
    <row r="901" spans="1:12" ht="15">
      <c r="A901" s="114" t="s">
        <v>1739</v>
      </c>
      <c r="B901" s="114" t="s">
        <v>1750</v>
      </c>
      <c r="C901" s="114">
        <v>7</v>
      </c>
      <c r="D901" s="116">
        <v>0.004089951799257854</v>
      </c>
      <c r="E901" s="116">
        <v>0.6526272111504946</v>
      </c>
      <c r="F901" s="114" t="s">
        <v>1707</v>
      </c>
      <c r="G901" s="114" t="b">
        <v>0</v>
      </c>
      <c r="H901" s="114" t="b">
        <v>0</v>
      </c>
      <c r="I901" s="114" t="b">
        <v>0</v>
      </c>
      <c r="J901" s="114" t="b">
        <v>0</v>
      </c>
      <c r="K901" s="114" t="b">
        <v>0</v>
      </c>
      <c r="L901" s="114" t="b">
        <v>0</v>
      </c>
    </row>
    <row r="902" spans="1:12" ht="15">
      <c r="A902" s="114" t="s">
        <v>1748</v>
      </c>
      <c r="B902" s="114" t="s">
        <v>1739</v>
      </c>
      <c r="C902" s="114">
        <v>7</v>
      </c>
      <c r="D902" s="116">
        <v>0.004089951799257854</v>
      </c>
      <c r="E902" s="116">
        <v>0.6640566729312763</v>
      </c>
      <c r="F902" s="114" t="s">
        <v>1707</v>
      </c>
      <c r="G902" s="114" t="b">
        <v>0</v>
      </c>
      <c r="H902" s="114" t="b">
        <v>0</v>
      </c>
      <c r="I902" s="114" t="b">
        <v>0</v>
      </c>
      <c r="J902" s="114" t="b">
        <v>0</v>
      </c>
      <c r="K902" s="114" t="b">
        <v>0</v>
      </c>
      <c r="L902" s="114" t="b">
        <v>0</v>
      </c>
    </row>
    <row r="903" spans="1:12" ht="15">
      <c r="A903" s="114" t="s">
        <v>1744</v>
      </c>
      <c r="B903" s="114" t="s">
        <v>1742</v>
      </c>
      <c r="C903" s="114">
        <v>7</v>
      </c>
      <c r="D903" s="116">
        <v>0.0044522189380378375</v>
      </c>
      <c r="E903" s="116">
        <v>0.6848118945218958</v>
      </c>
      <c r="F903" s="114" t="s">
        <v>1707</v>
      </c>
      <c r="G903" s="114" t="b">
        <v>0</v>
      </c>
      <c r="H903" s="114" t="b">
        <v>0</v>
      </c>
      <c r="I903" s="114" t="b">
        <v>0</v>
      </c>
      <c r="J903" s="114" t="b">
        <v>0</v>
      </c>
      <c r="K903" s="114" t="b">
        <v>0</v>
      </c>
      <c r="L903" s="114" t="b">
        <v>0</v>
      </c>
    </row>
    <row r="904" spans="1:12" ht="15">
      <c r="A904" s="114" t="s">
        <v>1796</v>
      </c>
      <c r="B904" s="114" t="s">
        <v>1893</v>
      </c>
      <c r="C904" s="114">
        <v>7</v>
      </c>
      <c r="D904" s="116">
        <v>0.004089951799257854</v>
      </c>
      <c r="E904" s="116">
        <v>2.025013115350144</v>
      </c>
      <c r="F904" s="114" t="s">
        <v>1707</v>
      </c>
      <c r="G904" s="114" t="b">
        <v>0</v>
      </c>
      <c r="H904" s="114" t="b">
        <v>0</v>
      </c>
      <c r="I904" s="114" t="b">
        <v>0</v>
      </c>
      <c r="J904" s="114" t="b">
        <v>0</v>
      </c>
      <c r="K904" s="114" t="b">
        <v>0</v>
      </c>
      <c r="L904" s="114" t="b">
        <v>0</v>
      </c>
    </row>
    <row r="905" spans="1:12" ht="15">
      <c r="A905" s="114" t="s">
        <v>1740</v>
      </c>
      <c r="B905" s="114" t="s">
        <v>1819</v>
      </c>
      <c r="C905" s="114">
        <v>7</v>
      </c>
      <c r="D905" s="116">
        <v>0.0044522189380378375</v>
      </c>
      <c r="E905" s="116">
        <v>0.9748465058844138</v>
      </c>
      <c r="F905" s="114" t="s">
        <v>1707</v>
      </c>
      <c r="G905" s="114" t="b">
        <v>0</v>
      </c>
      <c r="H905" s="114" t="b">
        <v>0</v>
      </c>
      <c r="I905" s="114" t="b">
        <v>0</v>
      </c>
      <c r="J905" s="114" t="b">
        <v>0</v>
      </c>
      <c r="K905" s="114" t="b">
        <v>0</v>
      </c>
      <c r="L905" s="114" t="b">
        <v>0</v>
      </c>
    </row>
    <row r="906" spans="1:12" ht="15">
      <c r="A906" s="114" t="s">
        <v>1797</v>
      </c>
      <c r="B906" s="114" t="s">
        <v>1740</v>
      </c>
      <c r="C906" s="114">
        <v>6</v>
      </c>
      <c r="D906" s="116">
        <v>0.003505672970792446</v>
      </c>
      <c r="E906" s="116">
        <v>0.6184729349161888</v>
      </c>
      <c r="F906" s="114" t="s">
        <v>1707</v>
      </c>
      <c r="G906" s="114" t="b">
        <v>0</v>
      </c>
      <c r="H906" s="114" t="b">
        <v>0</v>
      </c>
      <c r="I906" s="114" t="b">
        <v>0</v>
      </c>
      <c r="J906" s="114" t="b">
        <v>0</v>
      </c>
      <c r="K906" s="114" t="b">
        <v>0</v>
      </c>
      <c r="L906" s="114" t="b">
        <v>0</v>
      </c>
    </row>
    <row r="907" spans="1:12" ht="15">
      <c r="A907" s="114" t="s">
        <v>1742</v>
      </c>
      <c r="B907" s="114" t="s">
        <v>1750</v>
      </c>
      <c r="C907" s="114">
        <v>6</v>
      </c>
      <c r="D907" s="116">
        <v>0.004196226927873549</v>
      </c>
      <c r="E907" s="116">
        <v>0.9670211683724572</v>
      </c>
      <c r="F907" s="114" t="s">
        <v>1707</v>
      </c>
      <c r="G907" s="114" t="b">
        <v>0</v>
      </c>
      <c r="H907" s="114" t="b">
        <v>0</v>
      </c>
      <c r="I907" s="114" t="b">
        <v>0</v>
      </c>
      <c r="J907" s="114" t="b">
        <v>0</v>
      </c>
      <c r="K907" s="114" t="b">
        <v>0</v>
      </c>
      <c r="L907" s="114" t="b">
        <v>0</v>
      </c>
    </row>
    <row r="908" spans="1:12" ht="15">
      <c r="A908" s="114" t="s">
        <v>1747</v>
      </c>
      <c r="B908" s="114" t="s">
        <v>1845</v>
      </c>
      <c r="C908" s="114">
        <v>6</v>
      </c>
      <c r="D908" s="116">
        <v>0.006557246501708696</v>
      </c>
      <c r="E908" s="116">
        <v>1.8287184702061758</v>
      </c>
      <c r="F908" s="114" t="s">
        <v>1707</v>
      </c>
      <c r="G908" s="114" t="b">
        <v>0</v>
      </c>
      <c r="H908" s="114" t="b">
        <v>0</v>
      </c>
      <c r="I908" s="114" t="b">
        <v>0</v>
      </c>
      <c r="J908" s="114" t="b">
        <v>0</v>
      </c>
      <c r="K908" s="114" t="b">
        <v>0</v>
      </c>
      <c r="L908" s="114" t="b">
        <v>0</v>
      </c>
    </row>
    <row r="909" spans="1:12" ht="15">
      <c r="A909" s="114" t="s">
        <v>1751</v>
      </c>
      <c r="B909" s="114" t="s">
        <v>1739</v>
      </c>
      <c r="C909" s="114">
        <v>6</v>
      </c>
      <c r="D909" s="116">
        <v>0.004196226927873549</v>
      </c>
      <c r="E909" s="116">
        <v>0.5971098833006632</v>
      </c>
      <c r="F909" s="114" t="s">
        <v>1707</v>
      </c>
      <c r="G909" s="114" t="b">
        <v>0</v>
      </c>
      <c r="H909" s="114" t="b">
        <v>1</v>
      </c>
      <c r="I909" s="114" t="b">
        <v>0</v>
      </c>
      <c r="J909" s="114" t="b">
        <v>0</v>
      </c>
      <c r="K909" s="114" t="b">
        <v>0</v>
      </c>
      <c r="L909" s="114" t="b">
        <v>0</v>
      </c>
    </row>
    <row r="910" spans="1:12" ht="15">
      <c r="A910" s="114" t="s">
        <v>1802</v>
      </c>
      <c r="B910" s="114" t="s">
        <v>1892</v>
      </c>
      <c r="C910" s="114">
        <v>6</v>
      </c>
      <c r="D910" s="116">
        <v>0.003505672970792446</v>
      </c>
      <c r="E910" s="116">
        <v>1.9580663257195308</v>
      </c>
      <c r="F910" s="114" t="s">
        <v>1707</v>
      </c>
      <c r="G910" s="114" t="b">
        <v>0</v>
      </c>
      <c r="H910" s="114" t="b">
        <v>0</v>
      </c>
      <c r="I910" s="114" t="b">
        <v>0</v>
      </c>
      <c r="J910" s="114" t="b">
        <v>0</v>
      </c>
      <c r="K910" s="114" t="b">
        <v>0</v>
      </c>
      <c r="L910" s="114" t="b">
        <v>0</v>
      </c>
    </row>
    <row r="911" spans="1:12" ht="15">
      <c r="A911" s="114" t="s">
        <v>1892</v>
      </c>
      <c r="B911" s="114" t="s">
        <v>1796</v>
      </c>
      <c r="C911" s="114">
        <v>6</v>
      </c>
      <c r="D911" s="116">
        <v>0.003505672970792446</v>
      </c>
      <c r="E911" s="116">
        <v>2.025013115350144</v>
      </c>
      <c r="F911" s="114" t="s">
        <v>1707</v>
      </c>
      <c r="G911" s="114" t="b">
        <v>0</v>
      </c>
      <c r="H911" s="114" t="b">
        <v>0</v>
      </c>
      <c r="I911" s="114" t="b">
        <v>0</v>
      </c>
      <c r="J911" s="114" t="b">
        <v>0</v>
      </c>
      <c r="K911" s="114" t="b">
        <v>0</v>
      </c>
      <c r="L911" s="114" t="b">
        <v>0</v>
      </c>
    </row>
    <row r="912" spans="1:12" ht="15">
      <c r="A912" s="114" t="s">
        <v>1753</v>
      </c>
      <c r="B912" s="114" t="s">
        <v>1852</v>
      </c>
      <c r="C912" s="114">
        <v>6</v>
      </c>
      <c r="D912" s="116">
        <v>0.003816187661175289</v>
      </c>
      <c r="E912" s="116">
        <v>1.6844745784024893</v>
      </c>
      <c r="F912" s="114" t="s">
        <v>1707</v>
      </c>
      <c r="G912" s="114" t="b">
        <v>0</v>
      </c>
      <c r="H912" s="114" t="b">
        <v>0</v>
      </c>
      <c r="I912" s="114" t="b">
        <v>0</v>
      </c>
      <c r="J912" s="114" t="b">
        <v>0</v>
      </c>
      <c r="K912" s="114" t="b">
        <v>0</v>
      </c>
      <c r="L912" s="114" t="b">
        <v>0</v>
      </c>
    </row>
    <row r="913" spans="1:12" ht="15">
      <c r="A913" s="114" t="s">
        <v>1802</v>
      </c>
      <c r="B913" s="114" t="s">
        <v>1796</v>
      </c>
      <c r="C913" s="114">
        <v>6</v>
      </c>
      <c r="D913" s="116">
        <v>0.003816187661175289</v>
      </c>
      <c r="E913" s="116">
        <v>1.6570363300555497</v>
      </c>
      <c r="F913" s="114" t="s">
        <v>1707</v>
      </c>
      <c r="G913" s="114" t="b">
        <v>0</v>
      </c>
      <c r="H913" s="114" t="b">
        <v>0</v>
      </c>
      <c r="I913" s="114" t="b">
        <v>0</v>
      </c>
      <c r="J913" s="114" t="b">
        <v>0</v>
      </c>
      <c r="K913" s="114" t="b">
        <v>0</v>
      </c>
      <c r="L913" s="114" t="b">
        <v>0</v>
      </c>
    </row>
    <row r="914" spans="1:12" ht="15">
      <c r="A914" s="114" t="s">
        <v>1785</v>
      </c>
      <c r="B914" s="114" t="s">
        <v>1789</v>
      </c>
      <c r="C914" s="114">
        <v>6</v>
      </c>
      <c r="D914" s="116">
        <v>0.006557246501708696</v>
      </c>
      <c r="E914" s="116">
        <v>2.3929899006447384</v>
      </c>
      <c r="F914" s="114" t="s">
        <v>1707</v>
      </c>
      <c r="G914" s="114" t="b">
        <v>0</v>
      </c>
      <c r="H914" s="114" t="b">
        <v>0</v>
      </c>
      <c r="I914" s="114" t="b">
        <v>0</v>
      </c>
      <c r="J914" s="114" t="b">
        <v>0</v>
      </c>
      <c r="K914" s="114" t="b">
        <v>0</v>
      </c>
      <c r="L914" s="114" t="b">
        <v>0</v>
      </c>
    </row>
    <row r="915" spans="1:12" ht="15">
      <c r="A915" s="114" t="s">
        <v>1842</v>
      </c>
      <c r="B915" s="114" t="s">
        <v>1759</v>
      </c>
      <c r="C915" s="114">
        <v>6</v>
      </c>
      <c r="D915" s="116">
        <v>0.005376736714791122</v>
      </c>
      <c r="E915" s="116">
        <v>1.7397773868693946</v>
      </c>
      <c r="F915" s="114" t="s">
        <v>1707</v>
      </c>
      <c r="G915" s="114" t="b">
        <v>0</v>
      </c>
      <c r="H915" s="114" t="b">
        <v>0</v>
      </c>
      <c r="I915" s="114" t="b">
        <v>0</v>
      </c>
      <c r="J915" s="114" t="b">
        <v>0</v>
      </c>
      <c r="K915" s="114" t="b">
        <v>0</v>
      </c>
      <c r="L915" s="114" t="b">
        <v>0</v>
      </c>
    </row>
    <row r="916" spans="1:12" ht="15">
      <c r="A916" s="114" t="s">
        <v>1807</v>
      </c>
      <c r="B916" s="114" t="s">
        <v>1742</v>
      </c>
      <c r="C916" s="114">
        <v>5</v>
      </c>
      <c r="D916" s="116">
        <v>0.0039051522980916827</v>
      </c>
      <c r="E916" s="116">
        <v>0.9780165526739204</v>
      </c>
      <c r="F916" s="114" t="s">
        <v>1707</v>
      </c>
      <c r="G916" s="114" t="b">
        <v>0</v>
      </c>
      <c r="H916" s="114" t="b">
        <v>0</v>
      </c>
      <c r="I916" s="114" t="b">
        <v>0</v>
      </c>
      <c r="J916" s="114" t="b">
        <v>0</v>
      </c>
      <c r="K916" s="114" t="b">
        <v>0</v>
      </c>
      <c r="L916" s="114" t="b">
        <v>0</v>
      </c>
    </row>
    <row r="917" spans="1:12" ht="15">
      <c r="A917" s="114" t="s">
        <v>1739</v>
      </c>
      <c r="B917" s="114" t="s">
        <v>1778</v>
      </c>
      <c r="C917" s="114">
        <v>5</v>
      </c>
      <c r="D917" s="116">
        <v>0.0039051522980916827</v>
      </c>
      <c r="E917" s="116">
        <v>0.5064991754722565</v>
      </c>
      <c r="F917" s="114" t="s">
        <v>1707</v>
      </c>
      <c r="G917" s="114" t="b">
        <v>0</v>
      </c>
      <c r="H917" s="114" t="b">
        <v>0</v>
      </c>
      <c r="I917" s="114" t="b">
        <v>0</v>
      </c>
      <c r="J917" s="114" t="b">
        <v>0</v>
      </c>
      <c r="K917" s="114" t="b">
        <v>0</v>
      </c>
      <c r="L917" s="114" t="b">
        <v>0</v>
      </c>
    </row>
    <row r="918" spans="1:12" ht="15">
      <c r="A918" s="114" t="s">
        <v>1753</v>
      </c>
      <c r="B918" s="114" t="s">
        <v>1802</v>
      </c>
      <c r="C918" s="114">
        <v>5</v>
      </c>
      <c r="D918" s="116">
        <v>0.003180156384312741</v>
      </c>
      <c r="E918" s="116">
        <v>1.36225528366857</v>
      </c>
      <c r="F918" s="114" t="s">
        <v>1707</v>
      </c>
      <c r="G918" s="114" t="b">
        <v>0</v>
      </c>
      <c r="H918" s="114" t="b">
        <v>0</v>
      </c>
      <c r="I918" s="114" t="b">
        <v>0</v>
      </c>
      <c r="J918" s="114" t="b">
        <v>0</v>
      </c>
      <c r="K918" s="114" t="b">
        <v>0</v>
      </c>
      <c r="L918" s="114" t="b">
        <v>0</v>
      </c>
    </row>
    <row r="919" spans="1:12" ht="15">
      <c r="A919" s="114" t="s">
        <v>1893</v>
      </c>
      <c r="B919" s="114" t="s">
        <v>1753</v>
      </c>
      <c r="C919" s="114">
        <v>5</v>
      </c>
      <c r="D919" s="116">
        <v>0.003180156384312741</v>
      </c>
      <c r="E919" s="116">
        <v>1.8208931326942193</v>
      </c>
      <c r="F919" s="114" t="s">
        <v>1707</v>
      </c>
      <c r="G919" s="114" t="b">
        <v>0</v>
      </c>
      <c r="H919" s="114" t="b">
        <v>0</v>
      </c>
      <c r="I919" s="114" t="b">
        <v>0</v>
      </c>
      <c r="J919" s="114" t="b">
        <v>0</v>
      </c>
      <c r="K919" s="114" t="b">
        <v>0</v>
      </c>
      <c r="L919" s="114" t="b">
        <v>0</v>
      </c>
    </row>
    <row r="920" spans="1:12" ht="15">
      <c r="A920" s="114" t="s">
        <v>1852</v>
      </c>
      <c r="B920" s="114" t="s">
        <v>1802</v>
      </c>
      <c r="C920" s="114">
        <v>5</v>
      </c>
      <c r="D920" s="116">
        <v>0.003180156384312741</v>
      </c>
      <c r="E920" s="116">
        <v>1.8208931326942193</v>
      </c>
      <c r="F920" s="114" t="s">
        <v>1707</v>
      </c>
      <c r="G920" s="114" t="b">
        <v>0</v>
      </c>
      <c r="H920" s="114" t="b">
        <v>0</v>
      </c>
      <c r="I920" s="114" t="b">
        <v>0</v>
      </c>
      <c r="J920" s="114" t="b">
        <v>0</v>
      </c>
      <c r="K920" s="114" t="b">
        <v>0</v>
      </c>
      <c r="L920" s="114" t="b">
        <v>0</v>
      </c>
    </row>
    <row r="921" spans="1:12" ht="15">
      <c r="A921" s="114" t="s">
        <v>1796</v>
      </c>
      <c r="B921" s="114" t="s">
        <v>1774</v>
      </c>
      <c r="C921" s="114">
        <v>5</v>
      </c>
      <c r="D921" s="116">
        <v>0.003180156384312741</v>
      </c>
      <c r="E921" s="116">
        <v>1.9458318693025192</v>
      </c>
      <c r="F921" s="114" t="s">
        <v>1707</v>
      </c>
      <c r="G921" s="114" t="b">
        <v>0</v>
      </c>
      <c r="H921" s="114" t="b">
        <v>0</v>
      </c>
      <c r="I921" s="114" t="b">
        <v>0</v>
      </c>
      <c r="J921" s="114" t="b">
        <v>0</v>
      </c>
      <c r="K921" s="114" t="b">
        <v>1</v>
      </c>
      <c r="L921" s="114" t="b">
        <v>0</v>
      </c>
    </row>
    <row r="922" spans="1:12" ht="15">
      <c r="A922" s="114" t="s">
        <v>1740</v>
      </c>
      <c r="B922" s="114" t="s">
        <v>1766</v>
      </c>
      <c r="C922" s="114">
        <v>5</v>
      </c>
      <c r="D922" s="116">
        <v>0.003180156384312741</v>
      </c>
      <c r="E922" s="116">
        <v>0.874475960766851</v>
      </c>
      <c r="F922" s="114" t="s">
        <v>1707</v>
      </c>
      <c r="G922" s="114" t="b">
        <v>0</v>
      </c>
      <c r="H922" s="114" t="b">
        <v>0</v>
      </c>
      <c r="I922" s="114" t="b">
        <v>0</v>
      </c>
      <c r="J922" s="114" t="b">
        <v>0</v>
      </c>
      <c r="K922" s="114" t="b">
        <v>1</v>
      </c>
      <c r="L922" s="114" t="b">
        <v>0</v>
      </c>
    </row>
    <row r="923" spans="1:12" ht="15">
      <c r="A923" s="114" t="s">
        <v>1740</v>
      </c>
      <c r="B923" s="114" t="s">
        <v>1755</v>
      </c>
      <c r="C923" s="114">
        <v>5</v>
      </c>
      <c r="D923" s="116">
        <v>0.003180156384312741</v>
      </c>
      <c r="E923" s="116">
        <v>1.0505672198225322</v>
      </c>
      <c r="F923" s="114" t="s">
        <v>1707</v>
      </c>
      <c r="G923" s="114" t="b">
        <v>0</v>
      </c>
      <c r="H923" s="114" t="b">
        <v>0</v>
      </c>
      <c r="I923" s="114" t="b">
        <v>0</v>
      </c>
      <c r="J923" s="114" t="b">
        <v>0</v>
      </c>
      <c r="K923" s="114" t="b">
        <v>0</v>
      </c>
      <c r="L923" s="114" t="b">
        <v>0</v>
      </c>
    </row>
    <row r="924" spans="1:12" ht="15">
      <c r="A924" s="114" t="s">
        <v>1857</v>
      </c>
      <c r="B924" s="114" t="s">
        <v>1858</v>
      </c>
      <c r="C924" s="114">
        <v>5</v>
      </c>
      <c r="D924" s="116">
        <v>0.003180156384312741</v>
      </c>
      <c r="E924" s="116">
        <v>2.3929899006447384</v>
      </c>
      <c r="F924" s="114" t="s">
        <v>1707</v>
      </c>
      <c r="G924" s="114" t="b">
        <v>0</v>
      </c>
      <c r="H924" s="114" t="b">
        <v>0</v>
      </c>
      <c r="I924" s="114" t="b">
        <v>0</v>
      </c>
      <c r="J924" s="114" t="b">
        <v>0</v>
      </c>
      <c r="K924" s="114" t="b">
        <v>0</v>
      </c>
      <c r="L924" s="114" t="b">
        <v>0</v>
      </c>
    </row>
    <row r="925" spans="1:12" ht="15">
      <c r="A925" s="114" t="s">
        <v>1858</v>
      </c>
      <c r="B925" s="114" t="s">
        <v>1790</v>
      </c>
      <c r="C925" s="114">
        <v>5</v>
      </c>
      <c r="D925" s="116">
        <v>0.003180156384312741</v>
      </c>
      <c r="E925" s="116">
        <v>2.3929899006447384</v>
      </c>
      <c r="F925" s="114" t="s">
        <v>1707</v>
      </c>
      <c r="G925" s="114" t="b">
        <v>0</v>
      </c>
      <c r="H925" s="114" t="b">
        <v>0</v>
      </c>
      <c r="I925" s="114" t="b">
        <v>0</v>
      </c>
      <c r="J925" s="114" t="b">
        <v>0</v>
      </c>
      <c r="K925" s="114" t="b">
        <v>0</v>
      </c>
      <c r="L925" s="114" t="b">
        <v>0</v>
      </c>
    </row>
    <row r="926" spans="1:12" ht="15">
      <c r="A926" s="114" t="s">
        <v>1790</v>
      </c>
      <c r="B926" s="114" t="s">
        <v>1921</v>
      </c>
      <c r="C926" s="114">
        <v>5</v>
      </c>
      <c r="D926" s="116">
        <v>0.003180156384312741</v>
      </c>
      <c r="E926" s="116">
        <v>2.472171146692363</v>
      </c>
      <c r="F926" s="114" t="s">
        <v>1707</v>
      </c>
      <c r="G926" s="114" t="b">
        <v>0</v>
      </c>
      <c r="H926" s="114" t="b">
        <v>0</v>
      </c>
      <c r="I926" s="114" t="b">
        <v>0</v>
      </c>
      <c r="J926" s="114" t="b">
        <v>0</v>
      </c>
      <c r="K926" s="114" t="b">
        <v>0</v>
      </c>
      <c r="L926" s="114" t="b">
        <v>0</v>
      </c>
    </row>
    <row r="927" spans="1:12" ht="15">
      <c r="A927" s="114" t="s">
        <v>1921</v>
      </c>
      <c r="B927" s="114" t="s">
        <v>1840</v>
      </c>
      <c r="C927" s="114">
        <v>5</v>
      </c>
      <c r="D927" s="116">
        <v>0.003180156384312741</v>
      </c>
      <c r="E927" s="116">
        <v>2.3260431110141253</v>
      </c>
      <c r="F927" s="114" t="s">
        <v>1707</v>
      </c>
      <c r="G927" s="114" t="b">
        <v>0</v>
      </c>
      <c r="H927" s="114" t="b">
        <v>0</v>
      </c>
      <c r="I927" s="114" t="b">
        <v>0</v>
      </c>
      <c r="J927" s="114" t="b">
        <v>0</v>
      </c>
      <c r="K927" s="114" t="b">
        <v>0</v>
      </c>
      <c r="L927" s="114" t="b">
        <v>0</v>
      </c>
    </row>
    <row r="928" spans="1:12" ht="15">
      <c r="A928" s="114" t="s">
        <v>1840</v>
      </c>
      <c r="B928" s="114" t="s">
        <v>1808</v>
      </c>
      <c r="C928" s="114">
        <v>5</v>
      </c>
      <c r="D928" s="116">
        <v>0.003180156384312741</v>
      </c>
      <c r="E928" s="116">
        <v>2.2468618649665</v>
      </c>
      <c r="F928" s="114" t="s">
        <v>1707</v>
      </c>
      <c r="G928" s="114" t="b">
        <v>0</v>
      </c>
      <c r="H928" s="114" t="b">
        <v>0</v>
      </c>
      <c r="I928" s="114" t="b">
        <v>0</v>
      </c>
      <c r="J928" s="114" t="b">
        <v>0</v>
      </c>
      <c r="K928" s="114" t="b">
        <v>0</v>
      </c>
      <c r="L928" s="114" t="b">
        <v>0</v>
      </c>
    </row>
    <row r="929" spans="1:12" ht="15">
      <c r="A929" s="114" t="s">
        <v>1808</v>
      </c>
      <c r="B929" s="114" t="s">
        <v>1747</v>
      </c>
      <c r="C929" s="114">
        <v>5</v>
      </c>
      <c r="D929" s="116">
        <v>0.003180156384312741</v>
      </c>
      <c r="E929" s="116">
        <v>1.749537224158551</v>
      </c>
      <c r="F929" s="114" t="s">
        <v>1707</v>
      </c>
      <c r="G929" s="114" t="b">
        <v>0</v>
      </c>
      <c r="H929" s="114" t="b">
        <v>0</v>
      </c>
      <c r="I929" s="114" t="b">
        <v>0</v>
      </c>
      <c r="J929" s="114" t="b">
        <v>0</v>
      </c>
      <c r="K929" s="114" t="b">
        <v>0</v>
      </c>
      <c r="L929" s="114" t="b">
        <v>0</v>
      </c>
    </row>
    <row r="930" spans="1:12" ht="15">
      <c r="A930" s="114" t="s">
        <v>1742</v>
      </c>
      <c r="B930" s="114" t="s">
        <v>1742</v>
      </c>
      <c r="C930" s="114">
        <v>4</v>
      </c>
      <c r="D930" s="116">
        <v>0.0027974846185823657</v>
      </c>
      <c r="E930" s="116">
        <v>0.1541078117296017</v>
      </c>
      <c r="F930" s="114" t="s">
        <v>1707</v>
      </c>
      <c r="G930" s="114" t="b">
        <v>0</v>
      </c>
      <c r="H930" s="114" t="b">
        <v>0</v>
      </c>
      <c r="I930" s="114" t="b">
        <v>0</v>
      </c>
      <c r="J930" s="114" t="b">
        <v>0</v>
      </c>
      <c r="K930" s="114" t="b">
        <v>0</v>
      </c>
      <c r="L930" s="114" t="b">
        <v>0</v>
      </c>
    </row>
    <row r="931" spans="1:12" ht="15">
      <c r="A931" s="114" t="s">
        <v>1739</v>
      </c>
      <c r="B931" s="114" t="s">
        <v>1942</v>
      </c>
      <c r="C931" s="114">
        <v>4</v>
      </c>
      <c r="D931" s="116">
        <v>0.003124121838473346</v>
      </c>
      <c r="E931" s="116">
        <v>0.8075291711362377</v>
      </c>
      <c r="F931" s="114" t="s">
        <v>1707</v>
      </c>
      <c r="G931" s="114" t="b">
        <v>0</v>
      </c>
      <c r="H931" s="114" t="b">
        <v>0</v>
      </c>
      <c r="I931" s="114" t="b">
        <v>0</v>
      </c>
      <c r="J931" s="114" t="b">
        <v>0</v>
      </c>
      <c r="K931" s="114" t="b">
        <v>0</v>
      </c>
      <c r="L931" s="114" t="b">
        <v>0</v>
      </c>
    </row>
    <row r="932" spans="1:12" ht="15">
      <c r="A932" s="114" t="s">
        <v>1942</v>
      </c>
      <c r="B932" s="114" t="s">
        <v>1739</v>
      </c>
      <c r="C932" s="114">
        <v>4</v>
      </c>
      <c r="D932" s="116">
        <v>0.003124121838473346</v>
      </c>
      <c r="E932" s="116">
        <v>0.8189586329170195</v>
      </c>
      <c r="F932" s="114" t="s">
        <v>1707</v>
      </c>
      <c r="G932" s="114" t="b">
        <v>0</v>
      </c>
      <c r="H932" s="114" t="b">
        <v>0</v>
      </c>
      <c r="I932" s="114" t="b">
        <v>0</v>
      </c>
      <c r="J932" s="114" t="b">
        <v>0</v>
      </c>
      <c r="K932" s="114" t="b">
        <v>0</v>
      </c>
      <c r="L932" s="114" t="b">
        <v>0</v>
      </c>
    </row>
    <row r="933" spans="1:12" ht="15">
      <c r="A933" s="114" t="s">
        <v>2104</v>
      </c>
      <c r="B933" s="114" t="s">
        <v>2022</v>
      </c>
      <c r="C933" s="114">
        <v>4</v>
      </c>
      <c r="D933" s="116">
        <v>0.004371497667805797</v>
      </c>
      <c r="E933" s="116">
        <v>2.472171146692363</v>
      </c>
      <c r="F933" s="114" t="s">
        <v>1707</v>
      </c>
      <c r="G933" s="114" t="b">
        <v>0</v>
      </c>
      <c r="H933" s="114" t="b">
        <v>0</v>
      </c>
      <c r="I933" s="114" t="b">
        <v>0</v>
      </c>
      <c r="J933" s="114" t="b">
        <v>0</v>
      </c>
      <c r="K933" s="114" t="b">
        <v>0</v>
      </c>
      <c r="L933" s="114" t="b">
        <v>0</v>
      </c>
    </row>
    <row r="934" spans="1:12" ht="15">
      <c r="A934" s="114" t="s">
        <v>1831</v>
      </c>
      <c r="B934" s="114" t="s">
        <v>2105</v>
      </c>
      <c r="C934" s="114">
        <v>4</v>
      </c>
      <c r="D934" s="116">
        <v>0.004371497667805797</v>
      </c>
      <c r="E934" s="116">
        <v>2.5690811597004197</v>
      </c>
      <c r="F934" s="114" t="s">
        <v>1707</v>
      </c>
      <c r="G934" s="114" t="b">
        <v>0</v>
      </c>
      <c r="H934" s="114" t="b">
        <v>0</v>
      </c>
      <c r="I934" s="114" t="b">
        <v>0</v>
      </c>
      <c r="J934" s="114" t="b">
        <v>0</v>
      </c>
      <c r="K934" s="114" t="b">
        <v>0</v>
      </c>
      <c r="L934" s="114" t="b">
        <v>0</v>
      </c>
    </row>
    <row r="935" spans="1:12" ht="15">
      <c r="A935" s="114" t="s">
        <v>1807</v>
      </c>
      <c r="B935" s="114" t="s">
        <v>1799</v>
      </c>
      <c r="C935" s="114">
        <v>4</v>
      </c>
      <c r="D935" s="116">
        <v>0.0035844911431940816</v>
      </c>
      <c r="E935" s="116">
        <v>1.7397773868693946</v>
      </c>
      <c r="F935" s="114" t="s">
        <v>1707</v>
      </c>
      <c r="G935" s="114" t="b">
        <v>0</v>
      </c>
      <c r="H935" s="114" t="b">
        <v>0</v>
      </c>
      <c r="I935" s="114" t="b">
        <v>0</v>
      </c>
      <c r="J935" s="114" t="b">
        <v>0</v>
      </c>
      <c r="K935" s="114" t="b">
        <v>0</v>
      </c>
      <c r="L935" s="114" t="b">
        <v>0</v>
      </c>
    </row>
    <row r="936" spans="1:12" ht="15">
      <c r="A936" s="114" t="s">
        <v>1799</v>
      </c>
      <c r="B936" s="114" t="s">
        <v>1807</v>
      </c>
      <c r="C936" s="114">
        <v>4</v>
      </c>
      <c r="D936" s="116">
        <v>0.004371497667805797</v>
      </c>
      <c r="E936" s="116">
        <v>1.7397773868693946</v>
      </c>
      <c r="F936" s="114" t="s">
        <v>1707</v>
      </c>
      <c r="G936" s="114" t="b">
        <v>0</v>
      </c>
      <c r="H936" s="114" t="b">
        <v>0</v>
      </c>
      <c r="I936" s="114" t="b">
        <v>0</v>
      </c>
      <c r="J936" s="114" t="b">
        <v>0</v>
      </c>
      <c r="K936" s="114" t="b">
        <v>0</v>
      </c>
      <c r="L936" s="114" t="b">
        <v>0</v>
      </c>
    </row>
    <row r="937" spans="1:12" ht="15">
      <c r="A937" s="114" t="s">
        <v>1778</v>
      </c>
      <c r="B937" s="114" t="s">
        <v>1739</v>
      </c>
      <c r="C937" s="114">
        <v>4</v>
      </c>
      <c r="D937" s="116">
        <v>0.0027974846185823657</v>
      </c>
      <c r="E937" s="116">
        <v>0.4210186242449818</v>
      </c>
      <c r="F937" s="114" t="s">
        <v>1707</v>
      </c>
      <c r="G937" s="114" t="b">
        <v>0</v>
      </c>
      <c r="H937" s="114" t="b">
        <v>0</v>
      </c>
      <c r="I937" s="114" t="b">
        <v>0</v>
      </c>
      <c r="J937" s="114" t="b">
        <v>0</v>
      </c>
      <c r="K937" s="114" t="b">
        <v>0</v>
      </c>
      <c r="L937" s="114" t="b">
        <v>0</v>
      </c>
    </row>
    <row r="938" spans="1:12" ht="15">
      <c r="A938" s="114" t="s">
        <v>1739</v>
      </c>
      <c r="B938" s="114" t="s">
        <v>1741</v>
      </c>
      <c r="C938" s="114">
        <v>4</v>
      </c>
      <c r="D938" s="116">
        <v>0.0027974846185823657</v>
      </c>
      <c r="E938" s="116">
        <v>-0.15468226797436246</v>
      </c>
      <c r="F938" s="114" t="s">
        <v>1707</v>
      </c>
      <c r="G938" s="114" t="b">
        <v>0</v>
      </c>
      <c r="H938" s="114" t="b">
        <v>0</v>
      </c>
      <c r="I938" s="114" t="b">
        <v>0</v>
      </c>
      <c r="J938" s="114" t="b">
        <v>0</v>
      </c>
      <c r="K938" s="114" t="b">
        <v>0</v>
      </c>
      <c r="L938" s="114" t="b">
        <v>0</v>
      </c>
    </row>
    <row r="939" spans="1:12" ht="15">
      <c r="A939" s="114" t="s">
        <v>1751</v>
      </c>
      <c r="B939" s="114" t="s">
        <v>1744</v>
      </c>
      <c r="C939" s="114">
        <v>4</v>
      </c>
      <c r="D939" s="116">
        <v>0.0027974846185823657</v>
      </c>
      <c r="E939" s="116">
        <v>1.0785959434227756</v>
      </c>
      <c r="F939" s="114" t="s">
        <v>1707</v>
      </c>
      <c r="G939" s="114" t="b">
        <v>0</v>
      </c>
      <c r="H939" s="114" t="b">
        <v>1</v>
      </c>
      <c r="I939" s="114" t="b">
        <v>0</v>
      </c>
      <c r="J939" s="114" t="b">
        <v>0</v>
      </c>
      <c r="K939" s="114" t="b">
        <v>0</v>
      </c>
      <c r="L939" s="114" t="b">
        <v>0</v>
      </c>
    </row>
    <row r="940" spans="1:12" ht="15">
      <c r="A940" s="114" t="s">
        <v>1744</v>
      </c>
      <c r="B940" s="114" t="s">
        <v>1739</v>
      </c>
      <c r="C940" s="114">
        <v>4</v>
      </c>
      <c r="D940" s="116">
        <v>0.0027974846185823657</v>
      </c>
      <c r="E940" s="116">
        <v>0.07859594342277568</v>
      </c>
      <c r="F940" s="114" t="s">
        <v>1707</v>
      </c>
      <c r="G940" s="114" t="b">
        <v>0</v>
      </c>
      <c r="H940" s="114" t="b">
        <v>0</v>
      </c>
      <c r="I940" s="114" t="b">
        <v>0</v>
      </c>
      <c r="J940" s="114" t="b">
        <v>0</v>
      </c>
      <c r="K940" s="114" t="b">
        <v>0</v>
      </c>
      <c r="L940" s="114" t="b">
        <v>0</v>
      </c>
    </row>
    <row r="941" spans="1:12" ht="15">
      <c r="A941" s="114" t="s">
        <v>1825</v>
      </c>
      <c r="B941" s="114" t="s">
        <v>1739</v>
      </c>
      <c r="C941" s="114">
        <v>4</v>
      </c>
      <c r="D941" s="116">
        <v>0.003124121838473346</v>
      </c>
      <c r="E941" s="116">
        <v>0.8189586329170195</v>
      </c>
      <c r="F941" s="114" t="s">
        <v>1707</v>
      </c>
      <c r="G941" s="114" t="b">
        <v>0</v>
      </c>
      <c r="H941" s="114" t="b">
        <v>0</v>
      </c>
      <c r="I941" s="114" t="b">
        <v>0</v>
      </c>
      <c r="J941" s="114" t="b">
        <v>0</v>
      </c>
      <c r="K941" s="114" t="b">
        <v>0</v>
      </c>
      <c r="L941" s="114" t="b">
        <v>0</v>
      </c>
    </row>
    <row r="942" spans="1:12" ht="15">
      <c r="A942" s="114" t="s">
        <v>1739</v>
      </c>
      <c r="B942" s="114" t="s">
        <v>1795</v>
      </c>
      <c r="C942" s="114">
        <v>4</v>
      </c>
      <c r="D942" s="116">
        <v>0.003124121838473346</v>
      </c>
      <c r="E942" s="116">
        <v>0.8075291711362377</v>
      </c>
      <c r="F942" s="114" t="s">
        <v>1707</v>
      </c>
      <c r="G942" s="114" t="b">
        <v>0</v>
      </c>
      <c r="H942" s="114" t="b">
        <v>0</v>
      </c>
      <c r="I942" s="114" t="b">
        <v>0</v>
      </c>
      <c r="J942" s="114" t="b">
        <v>0</v>
      </c>
      <c r="K942" s="114" t="b">
        <v>1</v>
      </c>
      <c r="L942" s="114" t="b">
        <v>0</v>
      </c>
    </row>
    <row r="943" spans="1:12" ht="15">
      <c r="A943" s="114" t="s">
        <v>1742</v>
      </c>
      <c r="B943" s="114" t="s">
        <v>1739</v>
      </c>
      <c r="C943" s="114">
        <v>4</v>
      </c>
      <c r="D943" s="116">
        <v>0.0027974846185823657</v>
      </c>
      <c r="E943" s="116">
        <v>-0.209070090683224</v>
      </c>
      <c r="F943" s="114" t="s">
        <v>1707</v>
      </c>
      <c r="G943" s="114" t="b">
        <v>0</v>
      </c>
      <c r="H943" s="114" t="b">
        <v>0</v>
      </c>
      <c r="I943" s="114" t="b">
        <v>0</v>
      </c>
      <c r="J943" s="114" t="b">
        <v>0</v>
      </c>
      <c r="K943" s="114" t="b">
        <v>0</v>
      </c>
      <c r="L943" s="114" t="b">
        <v>0</v>
      </c>
    </row>
    <row r="944" spans="1:12" ht="15">
      <c r="A944" s="114" t="s">
        <v>1742</v>
      </c>
      <c r="B944" s="114" t="s">
        <v>1744</v>
      </c>
      <c r="C944" s="114">
        <v>4</v>
      </c>
      <c r="D944" s="116">
        <v>0.0027974846185823657</v>
      </c>
      <c r="E944" s="116">
        <v>0.4485072284945698</v>
      </c>
      <c r="F944" s="114" t="s">
        <v>1707</v>
      </c>
      <c r="G944" s="114" t="b">
        <v>0</v>
      </c>
      <c r="H944" s="114" t="b">
        <v>0</v>
      </c>
      <c r="I944" s="114" t="b">
        <v>0</v>
      </c>
      <c r="J944" s="114" t="b">
        <v>0</v>
      </c>
      <c r="K944" s="114" t="b">
        <v>0</v>
      </c>
      <c r="L944" s="114" t="b">
        <v>0</v>
      </c>
    </row>
    <row r="945" spans="1:12" ht="15">
      <c r="A945" s="114" t="s">
        <v>1741</v>
      </c>
      <c r="B945" s="114" t="s">
        <v>1742</v>
      </c>
      <c r="C945" s="114">
        <v>4</v>
      </c>
      <c r="D945" s="116">
        <v>0.0035844911431940816</v>
      </c>
      <c r="E945" s="116">
        <v>0.17495795070272177</v>
      </c>
      <c r="F945" s="114" t="s">
        <v>1707</v>
      </c>
      <c r="G945" s="114" t="b">
        <v>0</v>
      </c>
      <c r="H945" s="114" t="b">
        <v>0</v>
      </c>
      <c r="I945" s="114" t="b">
        <v>0</v>
      </c>
      <c r="J945" s="114" t="b">
        <v>0</v>
      </c>
      <c r="K945" s="114" t="b">
        <v>0</v>
      </c>
      <c r="L945" s="114" t="b">
        <v>0</v>
      </c>
    </row>
    <row r="946" spans="1:12" ht="15">
      <c r="A946" s="114" t="s">
        <v>1928</v>
      </c>
      <c r="B946" s="114" t="s">
        <v>1741</v>
      </c>
      <c r="C946" s="114">
        <v>4</v>
      </c>
      <c r="D946" s="116">
        <v>0.004371497667805797</v>
      </c>
      <c r="E946" s="116">
        <v>1.129748465870157</v>
      </c>
      <c r="F946" s="114" t="s">
        <v>1707</v>
      </c>
      <c r="G946" s="114" t="b">
        <v>0</v>
      </c>
      <c r="H946" s="114" t="b">
        <v>0</v>
      </c>
      <c r="I946" s="114" t="b">
        <v>0</v>
      </c>
      <c r="J946" s="114" t="b">
        <v>0</v>
      </c>
      <c r="K946" s="114" t="b">
        <v>0</v>
      </c>
      <c r="L946" s="114" t="b">
        <v>0</v>
      </c>
    </row>
    <row r="947" spans="1:12" ht="15">
      <c r="A947" s="114" t="s">
        <v>1743</v>
      </c>
      <c r="B947" s="114" t="s">
        <v>1741</v>
      </c>
      <c r="C947" s="114">
        <v>4</v>
      </c>
      <c r="D947" s="116">
        <v>0.003124121838473346</v>
      </c>
      <c r="E947" s="116">
        <v>0.3338684485260817</v>
      </c>
      <c r="F947" s="114" t="s">
        <v>1707</v>
      </c>
      <c r="G947" s="114" t="b">
        <v>0</v>
      </c>
      <c r="H947" s="114" t="b">
        <v>0</v>
      </c>
      <c r="I947" s="114" t="b">
        <v>0</v>
      </c>
      <c r="J947" s="114" t="b">
        <v>0</v>
      </c>
      <c r="K947" s="114" t="b">
        <v>0</v>
      </c>
      <c r="L947" s="114" t="b">
        <v>0</v>
      </c>
    </row>
    <row r="948" spans="1:12" ht="15">
      <c r="A948" s="114" t="s">
        <v>1746</v>
      </c>
      <c r="B948" s="114" t="s">
        <v>1744</v>
      </c>
      <c r="C948" s="114">
        <v>4</v>
      </c>
      <c r="D948" s="116">
        <v>0.004371497667805797</v>
      </c>
      <c r="E948" s="116">
        <v>0.9994146973751509</v>
      </c>
      <c r="F948" s="114" t="s">
        <v>1707</v>
      </c>
      <c r="G948" s="114" t="b">
        <v>0</v>
      </c>
      <c r="H948" s="114" t="b">
        <v>1</v>
      </c>
      <c r="I948" s="114" t="b">
        <v>0</v>
      </c>
      <c r="J948" s="114" t="b">
        <v>0</v>
      </c>
      <c r="K948" s="114" t="b">
        <v>0</v>
      </c>
      <c r="L948" s="114" t="b">
        <v>0</v>
      </c>
    </row>
    <row r="949" spans="1:12" ht="15">
      <c r="A949" s="114" t="s">
        <v>1753</v>
      </c>
      <c r="B949" s="114" t="s">
        <v>1856</v>
      </c>
      <c r="C949" s="114">
        <v>4</v>
      </c>
      <c r="D949" s="116">
        <v>0.0035844911431940816</v>
      </c>
      <c r="E949" s="116">
        <v>1.7125033020027327</v>
      </c>
      <c r="F949" s="114" t="s">
        <v>1707</v>
      </c>
      <c r="G949" s="114" t="b">
        <v>0</v>
      </c>
      <c r="H949" s="114" t="b">
        <v>0</v>
      </c>
      <c r="I949" s="114" t="b">
        <v>0</v>
      </c>
      <c r="J949" s="114" t="b">
        <v>0</v>
      </c>
      <c r="K949" s="114" t="b">
        <v>0</v>
      </c>
      <c r="L949" s="114" t="b">
        <v>0</v>
      </c>
    </row>
    <row r="950" spans="1:12" ht="15">
      <c r="A950" s="114" t="s">
        <v>1740</v>
      </c>
      <c r="B950" s="114" t="s">
        <v>1857</v>
      </c>
      <c r="C950" s="114">
        <v>4</v>
      </c>
      <c r="D950" s="116">
        <v>0.0027974846185823657</v>
      </c>
      <c r="E950" s="116">
        <v>1.0328384528621006</v>
      </c>
      <c r="F950" s="114" t="s">
        <v>1707</v>
      </c>
      <c r="G950" s="114" t="b">
        <v>0</v>
      </c>
      <c r="H950" s="114" t="b">
        <v>0</v>
      </c>
      <c r="I950" s="114" t="b">
        <v>0</v>
      </c>
      <c r="J950" s="114" t="b">
        <v>0</v>
      </c>
      <c r="K950" s="114" t="b">
        <v>0</v>
      </c>
      <c r="L950" s="114" t="b">
        <v>0</v>
      </c>
    </row>
    <row r="951" spans="1:12" ht="15">
      <c r="A951" s="114" t="s">
        <v>1989</v>
      </c>
      <c r="B951" s="114" t="s">
        <v>1990</v>
      </c>
      <c r="C951" s="114">
        <v>3</v>
      </c>
      <c r="D951" s="116">
        <v>0.003278623250854348</v>
      </c>
      <c r="E951" s="116">
        <v>2.6940198963087196</v>
      </c>
      <c r="F951" s="114" t="s">
        <v>1707</v>
      </c>
      <c r="G951" s="114" t="b">
        <v>0</v>
      </c>
      <c r="H951" s="114" t="b">
        <v>0</v>
      </c>
      <c r="I951" s="114" t="b">
        <v>0</v>
      </c>
      <c r="J951" s="114" t="b">
        <v>0</v>
      </c>
      <c r="K951" s="114" t="b">
        <v>0</v>
      </c>
      <c r="L951" s="114" t="b">
        <v>0</v>
      </c>
    </row>
    <row r="952" spans="1:12" ht="15">
      <c r="A952" s="114" t="s">
        <v>1743</v>
      </c>
      <c r="B952" s="114" t="s">
        <v>1749</v>
      </c>
      <c r="C952" s="114">
        <v>3</v>
      </c>
      <c r="D952" s="116">
        <v>0.0023430913788550097</v>
      </c>
      <c r="E952" s="116">
        <v>0.7451724187561009</v>
      </c>
      <c r="F952" s="114" t="s">
        <v>1707</v>
      </c>
      <c r="G952" s="114" t="b">
        <v>0</v>
      </c>
      <c r="H952" s="114" t="b">
        <v>0</v>
      </c>
      <c r="I952" s="114" t="b">
        <v>0</v>
      </c>
      <c r="J952" s="114" t="b">
        <v>0</v>
      </c>
      <c r="K952" s="114" t="b">
        <v>0</v>
      </c>
      <c r="L952" s="114" t="b">
        <v>0</v>
      </c>
    </row>
    <row r="953" spans="1:12" ht="15">
      <c r="A953" s="114" t="s">
        <v>1743</v>
      </c>
      <c r="B953" s="114" t="s">
        <v>1928</v>
      </c>
      <c r="C953" s="114">
        <v>3</v>
      </c>
      <c r="D953" s="116">
        <v>0.002688368357395561</v>
      </c>
      <c r="E953" s="116">
        <v>1.104194361397769</v>
      </c>
      <c r="F953" s="114" t="s">
        <v>1707</v>
      </c>
      <c r="G953" s="114" t="b">
        <v>0</v>
      </c>
      <c r="H953" s="114" t="b">
        <v>0</v>
      </c>
      <c r="I953" s="114" t="b">
        <v>0</v>
      </c>
      <c r="J953" s="114" t="b">
        <v>0</v>
      </c>
      <c r="K953" s="114" t="b">
        <v>0</v>
      </c>
      <c r="L953" s="114" t="b">
        <v>0</v>
      </c>
    </row>
    <row r="954" spans="1:12" ht="15">
      <c r="A954" s="114" t="s">
        <v>1744</v>
      </c>
      <c r="B954" s="114" t="s">
        <v>1746</v>
      </c>
      <c r="C954" s="114">
        <v>3</v>
      </c>
      <c r="D954" s="116">
        <v>0.0023430913788550097</v>
      </c>
      <c r="E954" s="116">
        <v>0.874475960766851</v>
      </c>
      <c r="F954" s="114" t="s">
        <v>1707</v>
      </c>
      <c r="G954" s="114" t="b">
        <v>0</v>
      </c>
      <c r="H954" s="114" t="b">
        <v>0</v>
      </c>
      <c r="I954" s="114" t="b">
        <v>0</v>
      </c>
      <c r="J954" s="114" t="b">
        <v>0</v>
      </c>
      <c r="K954" s="114" t="b">
        <v>1</v>
      </c>
      <c r="L954" s="114" t="b">
        <v>0</v>
      </c>
    </row>
    <row r="955" spans="1:12" ht="15">
      <c r="A955" s="114" t="s">
        <v>1746</v>
      </c>
      <c r="B955" s="114" t="s">
        <v>1739</v>
      </c>
      <c r="C955" s="114">
        <v>3</v>
      </c>
      <c r="D955" s="116">
        <v>0.0023430913788550097</v>
      </c>
      <c r="E955" s="116">
        <v>0.21689864158905714</v>
      </c>
      <c r="F955" s="114" t="s">
        <v>1707</v>
      </c>
      <c r="G955" s="114" t="b">
        <v>0</v>
      </c>
      <c r="H955" s="114" t="b">
        <v>1</v>
      </c>
      <c r="I955" s="114" t="b">
        <v>0</v>
      </c>
      <c r="J955" s="114" t="b">
        <v>0</v>
      </c>
      <c r="K955" s="114" t="b">
        <v>0</v>
      </c>
      <c r="L955" s="114" t="b">
        <v>0</v>
      </c>
    </row>
    <row r="956" spans="1:12" ht="15">
      <c r="A956" s="114" t="s">
        <v>1739</v>
      </c>
      <c r="B956" s="114" t="s">
        <v>1818</v>
      </c>
      <c r="C956" s="114">
        <v>3</v>
      </c>
      <c r="D956" s="116">
        <v>0.0023430913788550097</v>
      </c>
      <c r="E956" s="116">
        <v>0.983620430191919</v>
      </c>
      <c r="F956" s="114" t="s">
        <v>1707</v>
      </c>
      <c r="G956" s="114" t="b">
        <v>0</v>
      </c>
      <c r="H956" s="114" t="b">
        <v>0</v>
      </c>
      <c r="I956" s="114" t="b">
        <v>0</v>
      </c>
      <c r="J956" s="114" t="b">
        <v>0</v>
      </c>
      <c r="K956" s="114" t="b">
        <v>0</v>
      </c>
      <c r="L956" s="114" t="b">
        <v>0</v>
      </c>
    </row>
    <row r="957" spans="1:12" ht="15">
      <c r="A957" s="114" t="s">
        <v>1739</v>
      </c>
      <c r="B957" s="114" t="s">
        <v>1825</v>
      </c>
      <c r="C957" s="114">
        <v>3</v>
      </c>
      <c r="D957" s="116">
        <v>0.0023430913788550097</v>
      </c>
      <c r="E957" s="116">
        <v>0.6825904345279378</v>
      </c>
      <c r="F957" s="114" t="s">
        <v>1707</v>
      </c>
      <c r="G957" s="114" t="b">
        <v>0</v>
      </c>
      <c r="H957" s="114" t="b">
        <v>0</v>
      </c>
      <c r="I957" s="114" t="b">
        <v>0</v>
      </c>
      <c r="J957" s="114" t="b">
        <v>0</v>
      </c>
      <c r="K957" s="114" t="b">
        <v>0</v>
      </c>
      <c r="L957" s="114" t="b">
        <v>0</v>
      </c>
    </row>
    <row r="958" spans="1:12" ht="15">
      <c r="A958" s="114" t="s">
        <v>2247</v>
      </c>
      <c r="B958" s="114" t="s">
        <v>1948</v>
      </c>
      <c r="C958" s="114">
        <v>3</v>
      </c>
      <c r="D958" s="116">
        <v>0.003278623250854348</v>
      </c>
      <c r="E958" s="116">
        <v>2.3929899006447384</v>
      </c>
      <c r="F958" s="114" t="s">
        <v>1707</v>
      </c>
      <c r="G958" s="114" t="b">
        <v>0</v>
      </c>
      <c r="H958" s="114" t="b">
        <v>0</v>
      </c>
      <c r="I958" s="114" t="b">
        <v>0</v>
      </c>
      <c r="J958" s="114" t="b">
        <v>0</v>
      </c>
      <c r="K958" s="114" t="b">
        <v>0</v>
      </c>
      <c r="L958" s="114" t="b">
        <v>0</v>
      </c>
    </row>
    <row r="959" spans="1:12" ht="15">
      <c r="A959" s="114" t="s">
        <v>1850</v>
      </c>
      <c r="B959" s="114" t="s">
        <v>1741</v>
      </c>
      <c r="C959" s="114">
        <v>3</v>
      </c>
      <c r="D959" s="116">
        <v>0.0023430913788550097</v>
      </c>
      <c r="E959" s="116">
        <v>1.3058397249258382</v>
      </c>
      <c r="F959" s="114" t="s">
        <v>1707</v>
      </c>
      <c r="G959" s="114" t="b">
        <v>0</v>
      </c>
      <c r="H959" s="114" t="b">
        <v>0</v>
      </c>
      <c r="I959" s="114" t="b">
        <v>0</v>
      </c>
      <c r="J959" s="114" t="b">
        <v>0</v>
      </c>
      <c r="K959" s="114" t="b">
        <v>0</v>
      </c>
      <c r="L959" s="114" t="b">
        <v>0</v>
      </c>
    </row>
    <row r="960" spans="1:12" ht="15">
      <c r="A960" s="114" t="s">
        <v>1812</v>
      </c>
      <c r="B960" s="114" t="s">
        <v>1801</v>
      </c>
      <c r="C960" s="114">
        <v>3</v>
      </c>
      <c r="D960" s="116">
        <v>0.002688368357395561</v>
      </c>
      <c r="E960" s="116">
        <v>2.6940198963087196</v>
      </c>
      <c r="F960" s="114" t="s">
        <v>1707</v>
      </c>
      <c r="G960" s="114" t="b">
        <v>0</v>
      </c>
      <c r="H960" s="114" t="b">
        <v>0</v>
      </c>
      <c r="I960" s="114" t="b">
        <v>0</v>
      </c>
      <c r="J960" s="114" t="b">
        <v>0</v>
      </c>
      <c r="K960" s="114" t="b">
        <v>0</v>
      </c>
      <c r="L960" s="114" t="b">
        <v>0</v>
      </c>
    </row>
    <row r="961" spans="1:12" ht="15">
      <c r="A961" s="114" t="s">
        <v>1743</v>
      </c>
      <c r="B961" s="114" t="s">
        <v>1740</v>
      </c>
      <c r="C961" s="114">
        <v>3</v>
      </c>
      <c r="D961" s="116">
        <v>0.0023430913788550097</v>
      </c>
      <c r="E961" s="116">
        <v>-0.1262545599805051</v>
      </c>
      <c r="F961" s="114" t="s">
        <v>1707</v>
      </c>
      <c r="G961" s="114" t="b">
        <v>0</v>
      </c>
      <c r="H961" s="114" t="b">
        <v>0</v>
      </c>
      <c r="I961" s="114" t="b">
        <v>0</v>
      </c>
      <c r="J961" s="114" t="b">
        <v>0</v>
      </c>
      <c r="K961" s="114" t="b">
        <v>0</v>
      </c>
      <c r="L961" s="114" t="b">
        <v>0</v>
      </c>
    </row>
    <row r="962" spans="1:12" ht="15">
      <c r="A962" s="114" t="s">
        <v>1743</v>
      </c>
      <c r="B962" s="114" t="s">
        <v>1739</v>
      </c>
      <c r="C962" s="114">
        <v>3</v>
      </c>
      <c r="D962" s="116">
        <v>0.0023430913788550097</v>
      </c>
      <c r="E962" s="116">
        <v>-0.22679885764365554</v>
      </c>
      <c r="F962" s="114" t="s">
        <v>1707</v>
      </c>
      <c r="G962" s="114" t="b">
        <v>0</v>
      </c>
      <c r="H962" s="114" t="b">
        <v>0</v>
      </c>
      <c r="I962" s="114" t="b">
        <v>0</v>
      </c>
      <c r="J962" s="114" t="b">
        <v>0</v>
      </c>
      <c r="K962" s="114" t="b">
        <v>0</v>
      </c>
      <c r="L962" s="114" t="b">
        <v>0</v>
      </c>
    </row>
    <row r="963" spans="1:12" ht="15">
      <c r="A963" s="114" t="s">
        <v>1743</v>
      </c>
      <c r="B963" s="114" t="s">
        <v>1850</v>
      </c>
      <c r="C963" s="114">
        <v>3</v>
      </c>
      <c r="D963" s="116">
        <v>0.0023430913788550097</v>
      </c>
      <c r="E963" s="116">
        <v>1.250322397076007</v>
      </c>
      <c r="F963" s="114" t="s">
        <v>1707</v>
      </c>
      <c r="G963" s="114" t="b">
        <v>0</v>
      </c>
      <c r="H963" s="114" t="b">
        <v>0</v>
      </c>
      <c r="I963" s="114" t="b">
        <v>0</v>
      </c>
      <c r="J963" s="114" t="b">
        <v>0</v>
      </c>
      <c r="K963" s="114" t="b">
        <v>0</v>
      </c>
      <c r="L963" s="114" t="b">
        <v>0</v>
      </c>
    </row>
    <row r="964" spans="1:12" ht="15">
      <c r="A964" s="114" t="s">
        <v>1903</v>
      </c>
      <c r="B964" s="114" t="s">
        <v>1903</v>
      </c>
      <c r="C964" s="114">
        <v>3</v>
      </c>
      <c r="D964" s="116">
        <v>0.003278623250854348</v>
      </c>
      <c r="E964" s="116">
        <v>2.44414242309212</v>
      </c>
      <c r="F964" s="114" t="s">
        <v>1707</v>
      </c>
      <c r="G964" s="114" t="b">
        <v>0</v>
      </c>
      <c r="H964" s="114" t="b">
        <v>0</v>
      </c>
      <c r="I964" s="114" t="b">
        <v>0</v>
      </c>
      <c r="J964" s="114" t="b">
        <v>0</v>
      </c>
      <c r="K964" s="114" t="b">
        <v>0</v>
      </c>
      <c r="L964" s="114" t="b">
        <v>0</v>
      </c>
    </row>
    <row r="965" spans="1:12" ht="15">
      <c r="A965" s="114" t="s">
        <v>1739</v>
      </c>
      <c r="B965" s="114" t="s">
        <v>1771</v>
      </c>
      <c r="C965" s="114">
        <v>3</v>
      </c>
      <c r="D965" s="116">
        <v>0.0023430913788550097</v>
      </c>
      <c r="E965" s="116">
        <v>0.5064991754722565</v>
      </c>
      <c r="F965" s="114" t="s">
        <v>1707</v>
      </c>
      <c r="G965" s="114" t="b">
        <v>0</v>
      </c>
      <c r="H965" s="114" t="b">
        <v>0</v>
      </c>
      <c r="I965" s="114" t="b">
        <v>0</v>
      </c>
      <c r="J965" s="114" t="b">
        <v>0</v>
      </c>
      <c r="K965" s="114" t="b">
        <v>1</v>
      </c>
      <c r="L965" s="114" t="b">
        <v>0</v>
      </c>
    </row>
    <row r="966" spans="1:12" ht="15">
      <c r="A966" s="114" t="s">
        <v>1771</v>
      </c>
      <c r="B966" s="114" t="s">
        <v>1739</v>
      </c>
      <c r="C966" s="114">
        <v>3</v>
      </c>
      <c r="D966" s="116">
        <v>0.002688368357395561</v>
      </c>
      <c r="E966" s="116">
        <v>0.5179286372530384</v>
      </c>
      <c r="F966" s="114" t="s">
        <v>1707</v>
      </c>
      <c r="G966" s="114" t="b">
        <v>0</v>
      </c>
      <c r="H966" s="114" t="b">
        <v>1</v>
      </c>
      <c r="I966" s="114" t="b">
        <v>0</v>
      </c>
      <c r="J966" s="114" t="b">
        <v>0</v>
      </c>
      <c r="K966" s="114" t="b">
        <v>0</v>
      </c>
      <c r="L966" s="114" t="b">
        <v>0</v>
      </c>
    </row>
    <row r="967" spans="1:12" ht="15">
      <c r="A967" s="114" t="s">
        <v>1824</v>
      </c>
      <c r="B967" s="114" t="s">
        <v>1739</v>
      </c>
      <c r="C967" s="114">
        <v>3</v>
      </c>
      <c r="D967" s="116">
        <v>0.002688368357395561</v>
      </c>
      <c r="E967" s="116">
        <v>0.9950498919727008</v>
      </c>
      <c r="F967" s="114" t="s">
        <v>1707</v>
      </c>
      <c r="G967" s="114" t="b">
        <v>0</v>
      </c>
      <c r="H967" s="114" t="b">
        <v>0</v>
      </c>
      <c r="I967" s="114" t="b">
        <v>0</v>
      </c>
      <c r="J967" s="114" t="b">
        <v>0</v>
      </c>
      <c r="K967" s="114" t="b">
        <v>0</v>
      </c>
      <c r="L967" s="114" t="b">
        <v>0</v>
      </c>
    </row>
    <row r="968" spans="1:12" ht="15">
      <c r="A968" s="114" t="s">
        <v>1762</v>
      </c>
      <c r="B968" s="114" t="s">
        <v>1973</v>
      </c>
      <c r="C968" s="114">
        <v>3</v>
      </c>
      <c r="D968" s="116">
        <v>0.0023430913788550097</v>
      </c>
      <c r="E968" s="116">
        <v>1.4077131574654447</v>
      </c>
      <c r="F968" s="114" t="s">
        <v>1707</v>
      </c>
      <c r="G968" s="114" t="b">
        <v>0</v>
      </c>
      <c r="H968" s="114" t="b">
        <v>0</v>
      </c>
      <c r="I968" s="114" t="b">
        <v>0</v>
      </c>
      <c r="J968" s="114" t="b">
        <v>0</v>
      </c>
      <c r="K968" s="114" t="b">
        <v>0</v>
      </c>
      <c r="L968" s="114" t="b">
        <v>0</v>
      </c>
    </row>
    <row r="969" spans="1:12" ht="15">
      <c r="A969" s="114" t="s">
        <v>1740</v>
      </c>
      <c r="B969" s="114" t="s">
        <v>1973</v>
      </c>
      <c r="C969" s="114">
        <v>3</v>
      </c>
      <c r="D969" s="116">
        <v>0.0023430913788550097</v>
      </c>
      <c r="E969" s="116">
        <v>0.8287184702061758</v>
      </c>
      <c r="F969" s="114" t="s">
        <v>1707</v>
      </c>
      <c r="G969" s="114" t="b">
        <v>0</v>
      </c>
      <c r="H969" s="114" t="b">
        <v>0</v>
      </c>
      <c r="I969" s="114" t="b">
        <v>0</v>
      </c>
      <c r="J969" s="114" t="b">
        <v>0</v>
      </c>
      <c r="K969" s="114" t="b">
        <v>0</v>
      </c>
      <c r="L969" s="114" t="b">
        <v>0</v>
      </c>
    </row>
    <row r="970" spans="1:12" ht="15">
      <c r="A970" s="114" t="s">
        <v>1973</v>
      </c>
      <c r="B970" s="114" t="s">
        <v>1759</v>
      </c>
      <c r="C970" s="114">
        <v>3</v>
      </c>
      <c r="D970" s="116">
        <v>0.0023430913788550097</v>
      </c>
      <c r="E970" s="116">
        <v>1.6148386502610947</v>
      </c>
      <c r="F970" s="114" t="s">
        <v>1707</v>
      </c>
      <c r="G970" s="114" t="b">
        <v>0</v>
      </c>
      <c r="H970" s="114" t="b">
        <v>0</v>
      </c>
      <c r="I970" s="114" t="b">
        <v>0</v>
      </c>
      <c r="J970" s="114" t="b">
        <v>0</v>
      </c>
      <c r="K970" s="114" t="b">
        <v>0</v>
      </c>
      <c r="L970" s="114" t="b">
        <v>0</v>
      </c>
    </row>
    <row r="971" spans="1:12" ht="15">
      <c r="A971" s="114" t="s">
        <v>1755</v>
      </c>
      <c r="B971" s="114" t="s">
        <v>1762</v>
      </c>
      <c r="C971" s="114">
        <v>3</v>
      </c>
      <c r="D971" s="116">
        <v>0.0023430913788550097</v>
      </c>
      <c r="E971" s="116">
        <v>1.4607416849115815</v>
      </c>
      <c r="F971" s="114" t="s">
        <v>1707</v>
      </c>
      <c r="G971" s="114" t="b">
        <v>0</v>
      </c>
      <c r="H971" s="114" t="b">
        <v>0</v>
      </c>
      <c r="I971" s="114" t="b">
        <v>0</v>
      </c>
      <c r="J971" s="114" t="b">
        <v>0</v>
      </c>
      <c r="K971" s="114" t="b">
        <v>0</v>
      </c>
      <c r="L971" s="114" t="b">
        <v>0</v>
      </c>
    </row>
    <row r="972" spans="1:12" ht="15">
      <c r="A972" s="114" t="s">
        <v>1819</v>
      </c>
      <c r="B972" s="114" t="s">
        <v>1841</v>
      </c>
      <c r="C972" s="114">
        <v>3</v>
      </c>
      <c r="D972" s="116">
        <v>0.0023430913788550097</v>
      </c>
      <c r="E972" s="116">
        <v>1.6068697205898195</v>
      </c>
      <c r="F972" s="114" t="s">
        <v>1707</v>
      </c>
      <c r="G972" s="114" t="b">
        <v>0</v>
      </c>
      <c r="H972" s="114" t="b">
        <v>0</v>
      </c>
      <c r="I972" s="114" t="b">
        <v>0</v>
      </c>
      <c r="J972" s="114" t="b">
        <v>0</v>
      </c>
      <c r="K972" s="114" t="b">
        <v>0</v>
      </c>
      <c r="L972" s="114" t="b">
        <v>0</v>
      </c>
    </row>
    <row r="973" spans="1:12" ht="15">
      <c r="A973" s="114" t="s">
        <v>1743</v>
      </c>
      <c r="B973" s="114" t="s">
        <v>1748</v>
      </c>
      <c r="C973" s="114">
        <v>3</v>
      </c>
      <c r="D973" s="116">
        <v>0.0023430913788550097</v>
      </c>
      <c r="E973" s="116">
        <v>0.7732011423563444</v>
      </c>
      <c r="F973" s="114" t="s">
        <v>1707</v>
      </c>
      <c r="G973" s="114" t="b">
        <v>0</v>
      </c>
      <c r="H973" s="114" t="b">
        <v>0</v>
      </c>
      <c r="I973" s="114" t="b">
        <v>0</v>
      </c>
      <c r="J973" s="114" t="b">
        <v>0</v>
      </c>
      <c r="K973" s="114" t="b">
        <v>0</v>
      </c>
      <c r="L973" s="114" t="b">
        <v>0</v>
      </c>
    </row>
    <row r="974" spans="1:12" ht="15">
      <c r="A974" s="114" t="s">
        <v>1747</v>
      </c>
      <c r="B974" s="114" t="s">
        <v>1759</v>
      </c>
      <c r="C974" s="114">
        <v>3</v>
      </c>
      <c r="D974" s="116">
        <v>0.0023430913788550097</v>
      </c>
      <c r="E974" s="116">
        <v>1.0505672198225322</v>
      </c>
      <c r="F974" s="114" t="s">
        <v>1707</v>
      </c>
      <c r="G974" s="114" t="b">
        <v>0</v>
      </c>
      <c r="H974" s="114" t="b">
        <v>0</v>
      </c>
      <c r="I974" s="114" t="b">
        <v>0</v>
      </c>
      <c r="J974" s="114" t="b">
        <v>0</v>
      </c>
      <c r="K974" s="114" t="b">
        <v>0</v>
      </c>
      <c r="L974" s="114" t="b">
        <v>0</v>
      </c>
    </row>
    <row r="975" spans="1:12" ht="15">
      <c r="A975" s="114" t="s">
        <v>1742</v>
      </c>
      <c r="B975" s="114" t="s">
        <v>1987</v>
      </c>
      <c r="C975" s="114">
        <v>2</v>
      </c>
      <c r="D975" s="116">
        <v>0.0017922455715970408</v>
      </c>
      <c r="E975" s="116">
        <v>1.364961177044495</v>
      </c>
      <c r="F975" s="114" t="s">
        <v>1707</v>
      </c>
      <c r="G975" s="114" t="b">
        <v>0</v>
      </c>
      <c r="H975" s="114" t="b">
        <v>0</v>
      </c>
      <c r="I975" s="114" t="b">
        <v>0</v>
      </c>
      <c r="J975" s="114" t="b">
        <v>0</v>
      </c>
      <c r="K975" s="114" t="b">
        <v>0</v>
      </c>
      <c r="L975" s="114" t="b">
        <v>0</v>
      </c>
    </row>
    <row r="976" spans="1:12" ht="15">
      <c r="A976" s="114" t="s">
        <v>1987</v>
      </c>
      <c r="B976" s="114" t="s">
        <v>1739</v>
      </c>
      <c r="C976" s="114">
        <v>2</v>
      </c>
      <c r="D976" s="116">
        <v>0.0017922455715970408</v>
      </c>
      <c r="E976" s="116">
        <v>0.9950498919727008</v>
      </c>
      <c r="F976" s="114" t="s">
        <v>1707</v>
      </c>
      <c r="G976" s="114" t="b">
        <v>0</v>
      </c>
      <c r="H976" s="114" t="b">
        <v>0</v>
      </c>
      <c r="I976" s="114" t="b">
        <v>0</v>
      </c>
      <c r="J976" s="114" t="b">
        <v>0</v>
      </c>
      <c r="K976" s="114" t="b">
        <v>0</v>
      </c>
      <c r="L976" s="114" t="b">
        <v>0</v>
      </c>
    </row>
    <row r="977" spans="1:12" ht="15">
      <c r="A977" s="114" t="s">
        <v>1740</v>
      </c>
      <c r="B977" s="114" t="s">
        <v>1749</v>
      </c>
      <c r="C977" s="114">
        <v>2</v>
      </c>
      <c r="D977" s="116">
        <v>0.0017922455715970408</v>
      </c>
      <c r="E977" s="116">
        <v>0.22665847887821342</v>
      </c>
      <c r="F977" s="114" t="s">
        <v>1707</v>
      </c>
      <c r="G977" s="114" t="b">
        <v>0</v>
      </c>
      <c r="H977" s="114" t="b">
        <v>0</v>
      </c>
      <c r="I977" s="114" t="b">
        <v>0</v>
      </c>
      <c r="J977" s="114" t="b">
        <v>0</v>
      </c>
      <c r="K977" s="114" t="b">
        <v>0</v>
      </c>
      <c r="L977" s="114" t="b">
        <v>0</v>
      </c>
    </row>
    <row r="978" spans="1:12" ht="15">
      <c r="A978" s="114" t="s">
        <v>1749</v>
      </c>
      <c r="B978" s="114" t="s">
        <v>1740</v>
      </c>
      <c r="C978" s="114">
        <v>2</v>
      </c>
      <c r="D978" s="116">
        <v>0.0017922455715970408</v>
      </c>
      <c r="E978" s="116">
        <v>0.2504961496215944</v>
      </c>
      <c r="F978" s="114" t="s">
        <v>1707</v>
      </c>
      <c r="G978" s="114" t="b">
        <v>0</v>
      </c>
      <c r="H978" s="114" t="b">
        <v>0</v>
      </c>
      <c r="I978" s="114" t="b">
        <v>0</v>
      </c>
      <c r="J978" s="114" t="b">
        <v>0</v>
      </c>
      <c r="K978" s="114" t="b">
        <v>0</v>
      </c>
      <c r="L978" s="114" t="b">
        <v>0</v>
      </c>
    </row>
    <row r="979" spans="1:12" ht="15">
      <c r="A979" s="114" t="s">
        <v>1761</v>
      </c>
      <c r="B979" s="114" t="s">
        <v>1745</v>
      </c>
      <c r="C979" s="114">
        <v>2</v>
      </c>
      <c r="D979" s="116">
        <v>0.0017922455715970408</v>
      </c>
      <c r="E979" s="116">
        <v>2.472171146692363</v>
      </c>
      <c r="F979" s="114" t="s">
        <v>1707</v>
      </c>
      <c r="G979" s="114" t="b">
        <v>0</v>
      </c>
      <c r="H979" s="114" t="b">
        <v>0</v>
      </c>
      <c r="I979" s="114" t="b">
        <v>0</v>
      </c>
      <c r="J979" s="114" t="b">
        <v>0</v>
      </c>
      <c r="K979" s="114" t="b">
        <v>0</v>
      </c>
      <c r="L979" s="114" t="b">
        <v>0</v>
      </c>
    </row>
    <row r="980" spans="1:12" ht="15">
      <c r="A980" s="114" t="s">
        <v>1739</v>
      </c>
      <c r="B980" s="114" t="s">
        <v>1747</v>
      </c>
      <c r="C980" s="114">
        <v>2</v>
      </c>
      <c r="D980" s="116">
        <v>0.0017922455715970408</v>
      </c>
      <c r="E980" s="116">
        <v>-0.057772254966306065</v>
      </c>
      <c r="F980" s="114" t="s">
        <v>1707</v>
      </c>
      <c r="G980" s="114" t="b">
        <v>0</v>
      </c>
      <c r="H980" s="114" t="b">
        <v>0</v>
      </c>
      <c r="I980" s="114" t="b">
        <v>0</v>
      </c>
      <c r="J980" s="114" t="b">
        <v>0</v>
      </c>
      <c r="K980" s="114" t="b">
        <v>0</v>
      </c>
      <c r="L980" s="114" t="b">
        <v>0</v>
      </c>
    </row>
    <row r="981" spans="1:12" ht="15">
      <c r="A981" s="114" t="s">
        <v>2022</v>
      </c>
      <c r="B981" s="114" t="s">
        <v>2499</v>
      </c>
      <c r="C981" s="114">
        <v>2</v>
      </c>
      <c r="D981" s="116">
        <v>0.0021857488339028985</v>
      </c>
      <c r="E981" s="116">
        <v>2.472171146692363</v>
      </c>
      <c r="F981" s="114" t="s">
        <v>1707</v>
      </c>
      <c r="G981" s="114" t="b">
        <v>0</v>
      </c>
      <c r="H981" s="114" t="b">
        <v>0</v>
      </c>
      <c r="I981" s="114" t="b">
        <v>0</v>
      </c>
      <c r="J981" s="114" t="b">
        <v>0</v>
      </c>
      <c r="K981" s="114" t="b">
        <v>0</v>
      </c>
      <c r="L981" s="114" t="b">
        <v>0</v>
      </c>
    </row>
    <row r="982" spans="1:12" ht="15">
      <c r="A982" s="114" t="s">
        <v>1742</v>
      </c>
      <c r="B982" s="114" t="s">
        <v>1902</v>
      </c>
      <c r="C982" s="114">
        <v>2</v>
      </c>
      <c r="D982" s="116">
        <v>0.0017922455715970408</v>
      </c>
      <c r="E982" s="116">
        <v>0.9670211683724573</v>
      </c>
      <c r="F982" s="114" t="s">
        <v>1707</v>
      </c>
      <c r="G982" s="114" t="b">
        <v>0</v>
      </c>
      <c r="H982" s="114" t="b">
        <v>0</v>
      </c>
      <c r="I982" s="114" t="b">
        <v>0</v>
      </c>
      <c r="J982" s="114" t="b">
        <v>0</v>
      </c>
      <c r="K982" s="114" t="b">
        <v>0</v>
      </c>
      <c r="L982" s="114" t="b">
        <v>0</v>
      </c>
    </row>
    <row r="983" spans="1:12" ht="15">
      <c r="A983" s="114" t="s">
        <v>1838</v>
      </c>
      <c r="B983" s="114" t="s">
        <v>1902</v>
      </c>
      <c r="C983" s="114">
        <v>2</v>
      </c>
      <c r="D983" s="116">
        <v>0.0017922455715970408</v>
      </c>
      <c r="E983" s="116">
        <v>2.0742311380203255</v>
      </c>
      <c r="F983" s="114" t="s">
        <v>1707</v>
      </c>
      <c r="G983" s="114" t="b">
        <v>0</v>
      </c>
      <c r="H983" s="114" t="b">
        <v>0</v>
      </c>
      <c r="I983" s="114" t="b">
        <v>0</v>
      </c>
      <c r="J983" s="114" t="b">
        <v>0</v>
      </c>
      <c r="K983" s="114" t="b">
        <v>0</v>
      </c>
      <c r="L983" s="114" t="b">
        <v>0</v>
      </c>
    </row>
    <row r="984" spans="1:12" ht="15">
      <c r="A984" s="114" t="s">
        <v>1902</v>
      </c>
      <c r="B984" s="114" t="s">
        <v>1741</v>
      </c>
      <c r="C984" s="114">
        <v>2</v>
      </c>
      <c r="D984" s="116">
        <v>0.0017922455715970408</v>
      </c>
      <c r="E984" s="116">
        <v>1.0328384528621006</v>
      </c>
      <c r="F984" s="114" t="s">
        <v>1707</v>
      </c>
      <c r="G984" s="114" t="b">
        <v>0</v>
      </c>
      <c r="H984" s="114" t="b">
        <v>0</v>
      </c>
      <c r="I984" s="114" t="b">
        <v>0</v>
      </c>
      <c r="J984" s="114" t="b">
        <v>0</v>
      </c>
      <c r="K984" s="114" t="b">
        <v>0</v>
      </c>
      <c r="L984" s="114" t="b">
        <v>0</v>
      </c>
    </row>
    <row r="985" spans="1:12" ht="15">
      <c r="A985" s="114" t="s">
        <v>2394</v>
      </c>
      <c r="B985" s="114" t="s">
        <v>2087</v>
      </c>
      <c r="C985" s="114">
        <v>2</v>
      </c>
      <c r="D985" s="116">
        <v>0.0017922455715970408</v>
      </c>
      <c r="E985" s="116">
        <v>2.6940198963087196</v>
      </c>
      <c r="F985" s="114" t="s">
        <v>1707</v>
      </c>
      <c r="G985" s="114" t="b">
        <v>0</v>
      </c>
      <c r="H985" s="114" t="b">
        <v>0</v>
      </c>
      <c r="I985" s="114" t="b">
        <v>0</v>
      </c>
      <c r="J985" s="114" t="b">
        <v>0</v>
      </c>
      <c r="K985" s="114" t="b">
        <v>0</v>
      </c>
      <c r="L985" s="114" t="b">
        <v>0</v>
      </c>
    </row>
    <row r="986" spans="1:12" ht="15">
      <c r="A986" s="114" t="s">
        <v>2087</v>
      </c>
      <c r="B986" s="114" t="s">
        <v>1942</v>
      </c>
      <c r="C986" s="114">
        <v>2</v>
      </c>
      <c r="D986" s="116">
        <v>0.0017922455715970408</v>
      </c>
      <c r="E986" s="116">
        <v>2.216898641589057</v>
      </c>
      <c r="F986" s="114" t="s">
        <v>1707</v>
      </c>
      <c r="G986" s="114" t="b">
        <v>0</v>
      </c>
      <c r="H986" s="114" t="b">
        <v>0</v>
      </c>
      <c r="I986" s="114" t="b">
        <v>0</v>
      </c>
      <c r="J986" s="114" t="b">
        <v>0</v>
      </c>
      <c r="K986" s="114" t="b">
        <v>0</v>
      </c>
      <c r="L986" s="114" t="b">
        <v>0</v>
      </c>
    </row>
    <row r="987" spans="1:12" ht="15">
      <c r="A987" s="114" t="s">
        <v>1778</v>
      </c>
      <c r="B987" s="114" t="s">
        <v>1744</v>
      </c>
      <c r="C987" s="114">
        <v>2</v>
      </c>
      <c r="D987" s="116">
        <v>0.0021857488339028985</v>
      </c>
      <c r="E987" s="116">
        <v>0.7775659477587945</v>
      </c>
      <c r="F987" s="114" t="s">
        <v>1707</v>
      </c>
      <c r="G987" s="114" t="b">
        <v>0</v>
      </c>
      <c r="H987" s="114" t="b">
        <v>0</v>
      </c>
      <c r="I987" s="114" t="b">
        <v>0</v>
      </c>
      <c r="J987" s="114" t="b">
        <v>0</v>
      </c>
      <c r="K987" s="114" t="b">
        <v>0</v>
      </c>
      <c r="L987" s="114" t="b">
        <v>0</v>
      </c>
    </row>
    <row r="988" spans="1:12" ht="15">
      <c r="A988" s="114" t="s">
        <v>1744</v>
      </c>
      <c r="B988" s="114" t="s">
        <v>1778</v>
      </c>
      <c r="C988" s="114">
        <v>2</v>
      </c>
      <c r="D988" s="116">
        <v>0.0021857488339028985</v>
      </c>
      <c r="E988" s="116">
        <v>0.7775659477587945</v>
      </c>
      <c r="F988" s="114" t="s">
        <v>1707</v>
      </c>
      <c r="G988" s="114" t="b">
        <v>0</v>
      </c>
      <c r="H988" s="114" t="b">
        <v>0</v>
      </c>
      <c r="I988" s="114" t="b">
        <v>0</v>
      </c>
      <c r="J988" s="114" t="b">
        <v>0</v>
      </c>
      <c r="K988" s="114" t="b">
        <v>0</v>
      </c>
      <c r="L988" s="114" t="b">
        <v>0</v>
      </c>
    </row>
    <row r="989" spans="1:12" ht="15">
      <c r="A989" s="114" t="s">
        <v>1767</v>
      </c>
      <c r="B989" s="114" t="s">
        <v>1739</v>
      </c>
      <c r="C989" s="114">
        <v>2</v>
      </c>
      <c r="D989" s="116">
        <v>0.0021857488339028985</v>
      </c>
      <c r="E989" s="116">
        <v>0.6940198963087196</v>
      </c>
      <c r="F989" s="114" t="s">
        <v>1707</v>
      </c>
      <c r="G989" s="114" t="b">
        <v>0</v>
      </c>
      <c r="H989" s="114" t="b">
        <v>0</v>
      </c>
      <c r="I989" s="114" t="b">
        <v>0</v>
      </c>
      <c r="J989" s="114" t="b">
        <v>0</v>
      </c>
      <c r="K989" s="114" t="b">
        <v>0</v>
      </c>
      <c r="L989" s="114" t="b">
        <v>0</v>
      </c>
    </row>
    <row r="990" spans="1:12" ht="15">
      <c r="A990" s="114" t="s">
        <v>1746</v>
      </c>
      <c r="B990" s="114" t="s">
        <v>1746</v>
      </c>
      <c r="C990" s="114">
        <v>2</v>
      </c>
      <c r="D990" s="116">
        <v>0.0017922455715970408</v>
      </c>
      <c r="E990" s="116">
        <v>0.9616261364857511</v>
      </c>
      <c r="F990" s="114" t="s">
        <v>1707</v>
      </c>
      <c r="G990" s="114" t="b">
        <v>0</v>
      </c>
      <c r="H990" s="114" t="b">
        <v>1</v>
      </c>
      <c r="I990" s="114" t="b">
        <v>0</v>
      </c>
      <c r="J990" s="114" t="b">
        <v>0</v>
      </c>
      <c r="K990" s="114" t="b">
        <v>1</v>
      </c>
      <c r="L990" s="114" t="b">
        <v>0</v>
      </c>
    </row>
    <row r="991" spans="1:12" ht="15">
      <c r="A991" s="114" t="s">
        <v>1746</v>
      </c>
      <c r="B991" s="114" t="s">
        <v>1751</v>
      </c>
      <c r="C991" s="114">
        <v>2</v>
      </c>
      <c r="D991" s="116">
        <v>0.0017922455715970408</v>
      </c>
      <c r="E991" s="116">
        <v>1.040807382533376</v>
      </c>
      <c r="F991" s="114" t="s">
        <v>1707</v>
      </c>
      <c r="G991" s="114" t="b">
        <v>0</v>
      </c>
      <c r="H991" s="114" t="b">
        <v>1</v>
      </c>
      <c r="I991" s="114" t="b">
        <v>0</v>
      </c>
      <c r="J991" s="114" t="b">
        <v>0</v>
      </c>
      <c r="K991" s="114" t="b">
        <v>1</v>
      </c>
      <c r="L991" s="114" t="b">
        <v>0</v>
      </c>
    </row>
    <row r="992" spans="1:12" ht="15">
      <c r="A992" s="114" t="s">
        <v>1751</v>
      </c>
      <c r="B992" s="114" t="s">
        <v>1746</v>
      </c>
      <c r="C992" s="114">
        <v>2</v>
      </c>
      <c r="D992" s="116">
        <v>0.0017922455715970408</v>
      </c>
      <c r="E992" s="116">
        <v>1.040807382533376</v>
      </c>
      <c r="F992" s="114" t="s">
        <v>1707</v>
      </c>
      <c r="G992" s="114" t="b">
        <v>0</v>
      </c>
      <c r="H992" s="114" t="b">
        <v>1</v>
      </c>
      <c r="I992" s="114" t="b">
        <v>0</v>
      </c>
      <c r="J992" s="114" t="b">
        <v>0</v>
      </c>
      <c r="K992" s="114" t="b">
        <v>1</v>
      </c>
      <c r="L992" s="114" t="b">
        <v>0</v>
      </c>
    </row>
    <row r="993" spans="1:12" ht="15">
      <c r="A993" s="114" t="s">
        <v>1739</v>
      </c>
      <c r="B993" s="114" t="s">
        <v>2211</v>
      </c>
      <c r="C993" s="114">
        <v>2</v>
      </c>
      <c r="D993" s="116">
        <v>0.0017922455715970408</v>
      </c>
      <c r="E993" s="116">
        <v>0.9836204301919189</v>
      </c>
      <c r="F993" s="114" t="s">
        <v>1707</v>
      </c>
      <c r="G993" s="114" t="b">
        <v>0</v>
      </c>
      <c r="H993" s="114" t="b">
        <v>0</v>
      </c>
      <c r="I993" s="114" t="b">
        <v>0</v>
      </c>
      <c r="J993" s="114" t="b">
        <v>0</v>
      </c>
      <c r="K993" s="114" t="b">
        <v>0</v>
      </c>
      <c r="L993" s="114" t="b">
        <v>0</v>
      </c>
    </row>
    <row r="994" spans="1:12" ht="15">
      <c r="A994" s="114" t="s">
        <v>2211</v>
      </c>
      <c r="B994" s="114" t="s">
        <v>1739</v>
      </c>
      <c r="C994" s="114">
        <v>2</v>
      </c>
      <c r="D994" s="116">
        <v>0.0017922455715970408</v>
      </c>
      <c r="E994" s="116">
        <v>0.9950498919727008</v>
      </c>
      <c r="F994" s="114" t="s">
        <v>1707</v>
      </c>
      <c r="G994" s="114" t="b">
        <v>0</v>
      </c>
      <c r="H994" s="114" t="b">
        <v>0</v>
      </c>
      <c r="I994" s="114" t="b">
        <v>0</v>
      </c>
      <c r="J994" s="114" t="b">
        <v>0</v>
      </c>
      <c r="K994" s="114" t="b">
        <v>0</v>
      </c>
      <c r="L994" s="114" t="b">
        <v>0</v>
      </c>
    </row>
    <row r="995" spans="1:12" ht="15">
      <c r="A995" s="114" t="s">
        <v>1818</v>
      </c>
      <c r="B995" s="114" t="s">
        <v>1739</v>
      </c>
      <c r="C995" s="114">
        <v>2</v>
      </c>
      <c r="D995" s="116">
        <v>0.0017922455715970408</v>
      </c>
      <c r="E995" s="116">
        <v>0.8189586329170195</v>
      </c>
      <c r="F995" s="114" t="s">
        <v>1707</v>
      </c>
      <c r="G995" s="114" t="b">
        <v>0</v>
      </c>
      <c r="H995" s="114" t="b">
        <v>0</v>
      </c>
      <c r="I995" s="114" t="b">
        <v>0</v>
      </c>
      <c r="J995" s="114" t="b">
        <v>0</v>
      </c>
      <c r="K995" s="114" t="b">
        <v>0</v>
      </c>
      <c r="L995" s="114" t="b">
        <v>0</v>
      </c>
    </row>
    <row r="996" spans="1:12" ht="15">
      <c r="A996" s="114" t="s">
        <v>1739</v>
      </c>
      <c r="B996" s="114" t="s">
        <v>1767</v>
      </c>
      <c r="C996" s="114">
        <v>2</v>
      </c>
      <c r="D996" s="116">
        <v>0.0017922455715970408</v>
      </c>
      <c r="E996" s="116">
        <v>0.6825904345279378</v>
      </c>
      <c r="F996" s="114" t="s">
        <v>1707</v>
      </c>
      <c r="G996" s="114" t="b">
        <v>0</v>
      </c>
      <c r="H996" s="114" t="b">
        <v>0</v>
      </c>
      <c r="I996" s="114" t="b">
        <v>0</v>
      </c>
      <c r="J996" s="114" t="b">
        <v>0</v>
      </c>
      <c r="K996" s="114" t="b">
        <v>0</v>
      </c>
      <c r="L996" s="114" t="b">
        <v>0</v>
      </c>
    </row>
    <row r="997" spans="1:12" ht="15">
      <c r="A997" s="114" t="s">
        <v>1795</v>
      </c>
      <c r="B997" s="114" t="s">
        <v>2038</v>
      </c>
      <c r="C997" s="114">
        <v>2</v>
      </c>
      <c r="D997" s="116">
        <v>0.0017922455715970408</v>
      </c>
      <c r="E997" s="116">
        <v>2.3929899006447384</v>
      </c>
      <c r="F997" s="114" t="s">
        <v>1707</v>
      </c>
      <c r="G997" s="114" t="b">
        <v>0</v>
      </c>
      <c r="H997" s="114" t="b">
        <v>1</v>
      </c>
      <c r="I997" s="114" t="b">
        <v>0</v>
      </c>
      <c r="J997" s="114" t="b">
        <v>0</v>
      </c>
      <c r="K997" s="114" t="b">
        <v>1</v>
      </c>
      <c r="L997" s="114" t="b">
        <v>0</v>
      </c>
    </row>
    <row r="998" spans="1:12" ht="15">
      <c r="A998" s="114" t="s">
        <v>2038</v>
      </c>
      <c r="B998" s="114" t="s">
        <v>1739</v>
      </c>
      <c r="C998" s="114">
        <v>2</v>
      </c>
      <c r="D998" s="116">
        <v>0.0017922455715970408</v>
      </c>
      <c r="E998" s="116">
        <v>0.9950498919727008</v>
      </c>
      <c r="F998" s="114" t="s">
        <v>1707</v>
      </c>
      <c r="G998" s="114" t="b">
        <v>0</v>
      </c>
      <c r="H998" s="114" t="b">
        <v>1</v>
      </c>
      <c r="I998" s="114" t="b">
        <v>0</v>
      </c>
      <c r="J998" s="114" t="b">
        <v>0</v>
      </c>
      <c r="K998" s="114" t="b">
        <v>0</v>
      </c>
      <c r="L998" s="114" t="b">
        <v>0</v>
      </c>
    </row>
    <row r="999" spans="1:12" ht="15">
      <c r="A999" s="114" t="s">
        <v>1744</v>
      </c>
      <c r="B999" s="114" t="s">
        <v>1825</v>
      </c>
      <c r="C999" s="114">
        <v>2</v>
      </c>
      <c r="D999" s="116">
        <v>0.0017922455715970408</v>
      </c>
      <c r="E999" s="116">
        <v>1.175505956430832</v>
      </c>
      <c r="F999" s="114" t="s">
        <v>1707</v>
      </c>
      <c r="G999" s="114" t="b">
        <v>0</v>
      </c>
      <c r="H999" s="114" t="b">
        <v>0</v>
      </c>
      <c r="I999" s="114" t="b">
        <v>0</v>
      </c>
      <c r="J999" s="114" t="b">
        <v>0</v>
      </c>
      <c r="K999" s="114" t="b">
        <v>0</v>
      </c>
      <c r="L999" s="114" t="b">
        <v>0</v>
      </c>
    </row>
    <row r="1000" spans="1:12" ht="15">
      <c r="A1000" s="114" t="s">
        <v>1778</v>
      </c>
      <c r="B1000" s="114" t="s">
        <v>1747</v>
      </c>
      <c r="C1000" s="114">
        <v>2</v>
      </c>
      <c r="D1000" s="116">
        <v>0.0021857488339028985</v>
      </c>
      <c r="E1000" s="116">
        <v>0.9536572068144756</v>
      </c>
      <c r="F1000" s="114" t="s">
        <v>1707</v>
      </c>
      <c r="G1000" s="114" t="b">
        <v>0</v>
      </c>
      <c r="H1000" s="114" t="b">
        <v>0</v>
      </c>
      <c r="I1000" s="114" t="b">
        <v>0</v>
      </c>
      <c r="J1000" s="114" t="b">
        <v>0</v>
      </c>
      <c r="K1000" s="114" t="b">
        <v>0</v>
      </c>
      <c r="L1000" s="114" t="b">
        <v>0</v>
      </c>
    </row>
    <row r="1001" spans="1:12" ht="15">
      <c r="A1001" s="114" t="s">
        <v>1742</v>
      </c>
      <c r="B1001" s="114" t="s">
        <v>1740</v>
      </c>
      <c r="C1001" s="114">
        <v>2</v>
      </c>
      <c r="D1001" s="116">
        <v>0.0017922455715970408</v>
      </c>
      <c r="E1001" s="116">
        <v>-0.4095557886840547</v>
      </c>
      <c r="F1001" s="114" t="s">
        <v>1707</v>
      </c>
      <c r="G1001" s="114" t="b">
        <v>0</v>
      </c>
      <c r="H1001" s="114" t="b">
        <v>0</v>
      </c>
      <c r="I1001" s="114" t="b">
        <v>0</v>
      </c>
      <c r="J1001" s="114" t="b">
        <v>0</v>
      </c>
      <c r="K1001" s="114" t="b">
        <v>0</v>
      </c>
      <c r="L1001" s="114" t="b">
        <v>0</v>
      </c>
    </row>
    <row r="1002" spans="1:12" ht="15">
      <c r="A1002" s="114" t="s">
        <v>1742</v>
      </c>
      <c r="B1002" s="114" t="s">
        <v>1807</v>
      </c>
      <c r="C1002" s="114">
        <v>2</v>
      </c>
      <c r="D1002" s="116">
        <v>0.0017922455715970408</v>
      </c>
      <c r="E1002" s="116">
        <v>0.5868099266608513</v>
      </c>
      <c r="F1002" s="114" t="s">
        <v>1707</v>
      </c>
      <c r="G1002" s="114" t="b">
        <v>0</v>
      </c>
      <c r="H1002" s="114" t="b">
        <v>0</v>
      </c>
      <c r="I1002" s="114" t="b">
        <v>0</v>
      </c>
      <c r="J1002" s="114" t="b">
        <v>0</v>
      </c>
      <c r="K1002" s="114" t="b">
        <v>0</v>
      </c>
      <c r="L1002" s="114" t="b">
        <v>0</v>
      </c>
    </row>
    <row r="1003" spans="1:12" ht="15">
      <c r="A1003" s="114" t="s">
        <v>1742</v>
      </c>
      <c r="B1003" s="114" t="s">
        <v>2449</v>
      </c>
      <c r="C1003" s="114">
        <v>2</v>
      </c>
      <c r="D1003" s="116">
        <v>0.0017922455715970408</v>
      </c>
      <c r="E1003" s="116">
        <v>1.364961177044495</v>
      </c>
      <c r="F1003" s="114" t="s">
        <v>1707</v>
      </c>
      <c r="G1003" s="114" t="b">
        <v>0</v>
      </c>
      <c r="H1003" s="114" t="b">
        <v>0</v>
      </c>
      <c r="I1003" s="114" t="b">
        <v>0</v>
      </c>
      <c r="J1003" s="114" t="b">
        <v>0</v>
      </c>
      <c r="K1003" s="114" t="b">
        <v>0</v>
      </c>
      <c r="L1003" s="114" t="b">
        <v>0</v>
      </c>
    </row>
    <row r="1004" spans="1:12" ht="15">
      <c r="A1004" s="114" t="s">
        <v>2495</v>
      </c>
      <c r="B1004" s="114" t="s">
        <v>2247</v>
      </c>
      <c r="C1004" s="114">
        <v>2</v>
      </c>
      <c r="D1004" s="116">
        <v>0.0021857488339028985</v>
      </c>
      <c r="E1004" s="116">
        <v>2.6940198963087196</v>
      </c>
      <c r="F1004" s="114" t="s">
        <v>1707</v>
      </c>
      <c r="G1004" s="114" t="b">
        <v>0</v>
      </c>
      <c r="H1004" s="114" t="b">
        <v>0</v>
      </c>
      <c r="I1004" s="114" t="b">
        <v>0</v>
      </c>
      <c r="J1004" s="114" t="b">
        <v>0</v>
      </c>
      <c r="K1004" s="114" t="b">
        <v>0</v>
      </c>
      <c r="L1004" s="114" t="b">
        <v>0</v>
      </c>
    </row>
    <row r="1005" spans="1:12" ht="15">
      <c r="A1005" s="114" t="s">
        <v>2034</v>
      </c>
      <c r="B1005" s="114" t="s">
        <v>2494</v>
      </c>
      <c r="C1005" s="114">
        <v>2</v>
      </c>
      <c r="D1005" s="116">
        <v>0.0021857488339028985</v>
      </c>
      <c r="E1005" s="116">
        <v>2.870111155364401</v>
      </c>
      <c r="F1005" s="114" t="s">
        <v>1707</v>
      </c>
      <c r="G1005" s="114" t="b">
        <v>0</v>
      </c>
      <c r="H1005" s="114" t="b">
        <v>0</v>
      </c>
      <c r="I1005" s="114" t="b">
        <v>0</v>
      </c>
      <c r="J1005" s="114" t="b">
        <v>0</v>
      </c>
      <c r="K1005" s="114" t="b">
        <v>0</v>
      </c>
      <c r="L1005" s="114" t="b">
        <v>0</v>
      </c>
    </row>
    <row r="1006" spans="1:12" ht="15">
      <c r="A1006" s="114" t="s">
        <v>1865</v>
      </c>
      <c r="B1006" s="114" t="s">
        <v>2486</v>
      </c>
      <c r="C1006" s="114">
        <v>2</v>
      </c>
      <c r="D1006" s="116">
        <v>0.0017922455715970408</v>
      </c>
      <c r="E1006" s="116">
        <v>2.6940198963087196</v>
      </c>
      <c r="F1006" s="114" t="s">
        <v>1707</v>
      </c>
      <c r="G1006" s="114" t="b">
        <v>0</v>
      </c>
      <c r="H1006" s="114" t="b">
        <v>0</v>
      </c>
      <c r="I1006" s="114" t="b">
        <v>0</v>
      </c>
      <c r="J1006" s="114" t="b">
        <v>0</v>
      </c>
      <c r="K1006" s="114" t="b">
        <v>0</v>
      </c>
      <c r="L1006" s="114" t="b">
        <v>0</v>
      </c>
    </row>
    <row r="1007" spans="1:12" ht="15">
      <c r="A1007" s="114" t="s">
        <v>1916</v>
      </c>
      <c r="B1007" s="114" t="s">
        <v>2221</v>
      </c>
      <c r="C1007" s="114">
        <v>2</v>
      </c>
      <c r="D1007" s="116">
        <v>0.0021857488339028985</v>
      </c>
      <c r="E1007" s="116">
        <v>2.6940198963087196</v>
      </c>
      <c r="F1007" s="114" t="s">
        <v>1707</v>
      </c>
      <c r="G1007" s="114" t="b">
        <v>0</v>
      </c>
      <c r="H1007" s="114" t="b">
        <v>0</v>
      </c>
      <c r="I1007" s="114" t="b">
        <v>0</v>
      </c>
      <c r="J1007" s="114" t="b">
        <v>0</v>
      </c>
      <c r="K1007" s="114" t="b">
        <v>0</v>
      </c>
      <c r="L1007" s="114" t="b">
        <v>0</v>
      </c>
    </row>
    <row r="1008" spans="1:12" ht="15">
      <c r="A1008" s="114" t="s">
        <v>1967</v>
      </c>
      <c r="B1008" s="114" t="s">
        <v>2008</v>
      </c>
      <c r="C1008" s="114">
        <v>2</v>
      </c>
      <c r="D1008" s="116">
        <v>0.0021857488339028985</v>
      </c>
      <c r="E1008" s="116">
        <v>2.6940198963087196</v>
      </c>
      <c r="F1008" s="114" t="s">
        <v>1707</v>
      </c>
      <c r="G1008" s="114" t="b">
        <v>0</v>
      </c>
      <c r="H1008" s="114" t="b">
        <v>0</v>
      </c>
      <c r="I1008" s="114" t="b">
        <v>0</v>
      </c>
      <c r="J1008" s="114" t="b">
        <v>0</v>
      </c>
      <c r="K1008" s="114" t="b">
        <v>0</v>
      </c>
      <c r="L1008" s="114" t="b">
        <v>0</v>
      </c>
    </row>
    <row r="1009" spans="1:12" ht="15">
      <c r="A1009" s="114" t="s">
        <v>2008</v>
      </c>
      <c r="B1009" s="114" t="s">
        <v>2490</v>
      </c>
      <c r="C1009" s="114">
        <v>2</v>
      </c>
      <c r="D1009" s="116">
        <v>0.0021857488339028985</v>
      </c>
      <c r="E1009" s="116">
        <v>2.6940198963087196</v>
      </c>
      <c r="F1009" s="114" t="s">
        <v>1707</v>
      </c>
      <c r="G1009" s="114" t="b">
        <v>0</v>
      </c>
      <c r="H1009" s="114" t="b">
        <v>0</v>
      </c>
      <c r="I1009" s="114" t="b">
        <v>0</v>
      </c>
      <c r="J1009" s="114" t="b">
        <v>0</v>
      </c>
      <c r="K1009" s="114" t="b">
        <v>0</v>
      </c>
      <c r="L1009" s="114" t="b">
        <v>0</v>
      </c>
    </row>
    <row r="1010" spans="1:12" ht="15">
      <c r="A1010" s="114" t="s">
        <v>2491</v>
      </c>
      <c r="B1010" s="114" t="s">
        <v>2492</v>
      </c>
      <c r="C1010" s="114">
        <v>2</v>
      </c>
      <c r="D1010" s="116">
        <v>0.0021857488339028985</v>
      </c>
      <c r="E1010" s="116">
        <v>2.870111155364401</v>
      </c>
      <c r="F1010" s="114" t="s">
        <v>1707</v>
      </c>
      <c r="G1010" s="114" t="b">
        <v>0</v>
      </c>
      <c r="H1010" s="114" t="b">
        <v>0</v>
      </c>
      <c r="I1010" s="114" t="b">
        <v>0</v>
      </c>
      <c r="J1010" s="114" t="b">
        <v>0</v>
      </c>
      <c r="K1010" s="114" t="b">
        <v>0</v>
      </c>
      <c r="L1010" s="114" t="b">
        <v>0</v>
      </c>
    </row>
    <row r="1011" spans="1:12" ht="15">
      <c r="A1011" s="114" t="s">
        <v>1740</v>
      </c>
      <c r="B1011" s="114" t="s">
        <v>1747</v>
      </c>
      <c r="C1011" s="114">
        <v>2</v>
      </c>
      <c r="D1011" s="116">
        <v>0.0021857488339028985</v>
      </c>
      <c r="E1011" s="116">
        <v>0.08835578071193197</v>
      </c>
      <c r="F1011" s="114" t="s">
        <v>1707</v>
      </c>
      <c r="G1011" s="114" t="b">
        <v>0</v>
      </c>
      <c r="H1011" s="114" t="b">
        <v>0</v>
      </c>
      <c r="I1011" s="114" t="b">
        <v>0</v>
      </c>
      <c r="J1011" s="114" t="b">
        <v>0</v>
      </c>
      <c r="K1011" s="114" t="b">
        <v>0</v>
      </c>
      <c r="L1011" s="114" t="b">
        <v>0</v>
      </c>
    </row>
    <row r="1012" spans="1:12" ht="15">
      <c r="A1012" s="114" t="s">
        <v>1750</v>
      </c>
      <c r="B1012" s="114" t="s">
        <v>1740</v>
      </c>
      <c r="C1012" s="114">
        <v>2</v>
      </c>
      <c r="D1012" s="116">
        <v>0.0021857488339028985</v>
      </c>
      <c r="E1012" s="116">
        <v>0.2504961496215944</v>
      </c>
      <c r="F1012" s="114" t="s">
        <v>1707</v>
      </c>
      <c r="G1012" s="114" t="b">
        <v>0</v>
      </c>
      <c r="H1012" s="114" t="b">
        <v>0</v>
      </c>
      <c r="I1012" s="114" t="b">
        <v>0</v>
      </c>
      <c r="J1012" s="114" t="b">
        <v>0</v>
      </c>
      <c r="K1012" s="114" t="b">
        <v>0</v>
      </c>
      <c r="L1012" s="114" t="b">
        <v>0</v>
      </c>
    </row>
    <row r="1013" spans="1:12" ht="15">
      <c r="A1013" s="114" t="s">
        <v>2246</v>
      </c>
      <c r="B1013" s="114" t="s">
        <v>1740</v>
      </c>
      <c r="C1013" s="114">
        <v>2</v>
      </c>
      <c r="D1013" s="116">
        <v>0.0021857488339028985</v>
      </c>
      <c r="E1013" s="116">
        <v>0.91950293058017</v>
      </c>
      <c r="F1013" s="114" t="s">
        <v>1707</v>
      </c>
      <c r="G1013" s="114" t="b">
        <v>0</v>
      </c>
      <c r="H1013" s="114" t="b">
        <v>0</v>
      </c>
      <c r="I1013" s="114" t="b">
        <v>0</v>
      </c>
      <c r="J1013" s="114" t="b">
        <v>0</v>
      </c>
      <c r="K1013" s="114" t="b">
        <v>0</v>
      </c>
      <c r="L1013" s="114" t="b">
        <v>0</v>
      </c>
    </row>
    <row r="1014" spans="1:12" ht="15">
      <c r="A1014" s="114" t="s">
        <v>1740</v>
      </c>
      <c r="B1014" s="114" t="s">
        <v>1744</v>
      </c>
      <c r="C1014" s="114">
        <v>2</v>
      </c>
      <c r="D1014" s="116">
        <v>0.0017922455715970408</v>
      </c>
      <c r="E1014" s="116">
        <v>-0.08773547834374926</v>
      </c>
      <c r="F1014" s="114" t="s">
        <v>1707</v>
      </c>
      <c r="G1014" s="114" t="b">
        <v>0</v>
      </c>
      <c r="H1014" s="114" t="b">
        <v>0</v>
      </c>
      <c r="I1014" s="114" t="b">
        <v>0</v>
      </c>
      <c r="J1014" s="114" t="b">
        <v>0</v>
      </c>
      <c r="K1014" s="114" t="b">
        <v>0</v>
      </c>
      <c r="L1014" s="114" t="b">
        <v>0</v>
      </c>
    </row>
    <row r="1015" spans="1:12" ht="15">
      <c r="A1015" s="114" t="s">
        <v>1748</v>
      </c>
      <c r="B1015" s="114" t="s">
        <v>1741</v>
      </c>
      <c r="C1015" s="114">
        <v>2</v>
      </c>
      <c r="D1015" s="116">
        <v>0.0017922455715970408</v>
      </c>
      <c r="E1015" s="116">
        <v>0.5557171981424381</v>
      </c>
      <c r="F1015" s="114" t="s">
        <v>1707</v>
      </c>
      <c r="G1015" s="114" t="b">
        <v>0</v>
      </c>
      <c r="H1015" s="114" t="b">
        <v>0</v>
      </c>
      <c r="I1015" s="114" t="b">
        <v>0</v>
      </c>
      <c r="J1015" s="114" t="b">
        <v>0</v>
      </c>
      <c r="K1015" s="114" t="b">
        <v>0</v>
      </c>
      <c r="L1015" s="114" t="b">
        <v>0</v>
      </c>
    </row>
    <row r="1016" spans="1:12" ht="15">
      <c r="A1016" s="114" t="s">
        <v>2243</v>
      </c>
      <c r="B1016" s="114" t="s">
        <v>2488</v>
      </c>
      <c r="C1016" s="114">
        <v>2</v>
      </c>
      <c r="D1016" s="116">
        <v>0.0021857488339028985</v>
      </c>
      <c r="E1016" s="116">
        <v>2.6940198963087196</v>
      </c>
      <c r="F1016" s="114" t="s">
        <v>1707</v>
      </c>
      <c r="G1016" s="114" t="b">
        <v>0</v>
      </c>
      <c r="H1016" s="114" t="b">
        <v>0</v>
      </c>
      <c r="I1016" s="114" t="b">
        <v>0</v>
      </c>
      <c r="J1016" s="114" t="b">
        <v>0</v>
      </c>
      <c r="K1016" s="114" t="b">
        <v>0</v>
      </c>
      <c r="L1016" s="114" t="b">
        <v>0</v>
      </c>
    </row>
    <row r="1017" spans="1:12" ht="15">
      <c r="A1017" s="114" t="s">
        <v>2488</v>
      </c>
      <c r="B1017" s="114" t="s">
        <v>2244</v>
      </c>
      <c r="C1017" s="114">
        <v>2</v>
      </c>
      <c r="D1017" s="116">
        <v>0.0021857488339028985</v>
      </c>
      <c r="E1017" s="116">
        <v>2.6940198963087196</v>
      </c>
      <c r="F1017" s="114" t="s">
        <v>1707</v>
      </c>
      <c r="G1017" s="114" t="b">
        <v>0</v>
      </c>
      <c r="H1017" s="114" t="b">
        <v>0</v>
      </c>
      <c r="I1017" s="114" t="b">
        <v>0</v>
      </c>
      <c r="J1017" s="114" t="b">
        <v>0</v>
      </c>
      <c r="K1017" s="114" t="b">
        <v>0</v>
      </c>
      <c r="L1017" s="114" t="b">
        <v>0</v>
      </c>
    </row>
    <row r="1018" spans="1:12" ht="15">
      <c r="A1018" s="114" t="s">
        <v>2244</v>
      </c>
      <c r="B1018" s="114" t="s">
        <v>2489</v>
      </c>
      <c r="C1018" s="114">
        <v>2</v>
      </c>
      <c r="D1018" s="116">
        <v>0.0021857488339028985</v>
      </c>
      <c r="E1018" s="116">
        <v>2.6940198963087196</v>
      </c>
      <c r="F1018" s="114" t="s">
        <v>1707</v>
      </c>
      <c r="G1018" s="114" t="b">
        <v>0</v>
      </c>
      <c r="H1018" s="114" t="b">
        <v>0</v>
      </c>
      <c r="I1018" s="114" t="b">
        <v>0</v>
      </c>
      <c r="J1018" s="114" t="b">
        <v>0</v>
      </c>
      <c r="K1018" s="114" t="b">
        <v>0</v>
      </c>
      <c r="L1018" s="114" t="b">
        <v>0</v>
      </c>
    </row>
    <row r="1019" spans="1:12" ht="15">
      <c r="A1019" s="114" t="s">
        <v>1817</v>
      </c>
      <c r="B1019" s="114" t="s">
        <v>1793</v>
      </c>
      <c r="C1019" s="114">
        <v>2</v>
      </c>
      <c r="D1019" s="116">
        <v>0.0017922455715970408</v>
      </c>
      <c r="E1019" s="116">
        <v>2.0742311380203255</v>
      </c>
      <c r="F1019" s="114" t="s">
        <v>1707</v>
      </c>
      <c r="G1019" s="114" t="b">
        <v>0</v>
      </c>
      <c r="H1019" s="114" t="b">
        <v>0</v>
      </c>
      <c r="I1019" s="114" t="b">
        <v>0</v>
      </c>
      <c r="J1019" s="114" t="b">
        <v>0</v>
      </c>
      <c r="K1019" s="114" t="b">
        <v>0</v>
      </c>
      <c r="L1019" s="114" t="b">
        <v>0</v>
      </c>
    </row>
    <row r="1020" spans="1:12" ht="15">
      <c r="A1020" s="114" t="s">
        <v>2088</v>
      </c>
      <c r="B1020" s="114" t="s">
        <v>1749</v>
      </c>
      <c r="C1020" s="114">
        <v>2</v>
      </c>
      <c r="D1020" s="116">
        <v>0.0021857488339028985</v>
      </c>
      <c r="E1020" s="116">
        <v>1.665991172708476</v>
      </c>
      <c r="F1020" s="114" t="s">
        <v>1707</v>
      </c>
      <c r="G1020" s="114" t="b">
        <v>0</v>
      </c>
      <c r="H1020" s="114" t="b">
        <v>0</v>
      </c>
      <c r="I1020" s="114" t="b">
        <v>0</v>
      </c>
      <c r="J1020" s="114" t="b">
        <v>0</v>
      </c>
      <c r="K1020" s="114" t="b">
        <v>0</v>
      </c>
      <c r="L1020" s="114" t="b">
        <v>0</v>
      </c>
    </row>
    <row r="1021" spans="1:12" ht="15">
      <c r="A1021" s="114" t="s">
        <v>1739</v>
      </c>
      <c r="B1021" s="114" t="s">
        <v>1749</v>
      </c>
      <c r="C1021" s="114">
        <v>2</v>
      </c>
      <c r="D1021" s="116">
        <v>0.0021857488339028985</v>
      </c>
      <c r="E1021" s="116">
        <v>0.08053044319997535</v>
      </c>
      <c r="F1021" s="114" t="s">
        <v>1707</v>
      </c>
      <c r="G1021" s="114" t="b">
        <v>0</v>
      </c>
      <c r="H1021" s="114" t="b">
        <v>0</v>
      </c>
      <c r="I1021" s="114" t="b">
        <v>0</v>
      </c>
      <c r="J1021" s="114" t="b">
        <v>0</v>
      </c>
      <c r="K1021" s="114" t="b">
        <v>0</v>
      </c>
      <c r="L1021" s="114" t="b">
        <v>0</v>
      </c>
    </row>
    <row r="1022" spans="1:12" ht="15">
      <c r="A1022" s="114" t="s">
        <v>1749</v>
      </c>
      <c r="B1022" s="114" t="s">
        <v>1739</v>
      </c>
      <c r="C1022" s="114">
        <v>2</v>
      </c>
      <c r="D1022" s="116">
        <v>0.0021857488339028985</v>
      </c>
      <c r="E1022" s="116">
        <v>0.149951851958444</v>
      </c>
      <c r="F1022" s="114" t="s">
        <v>1707</v>
      </c>
      <c r="G1022" s="114" t="b">
        <v>0</v>
      </c>
      <c r="H1022" s="114" t="b">
        <v>0</v>
      </c>
      <c r="I1022" s="114" t="b">
        <v>0</v>
      </c>
      <c r="J1022" s="114" t="b">
        <v>0</v>
      </c>
      <c r="K1022" s="114" t="b">
        <v>0</v>
      </c>
      <c r="L1022" s="114" t="b">
        <v>0</v>
      </c>
    </row>
    <row r="1023" spans="1:12" ht="15">
      <c r="A1023" s="114" t="s">
        <v>1749</v>
      </c>
      <c r="B1023" s="114" t="s">
        <v>1741</v>
      </c>
      <c r="C1023" s="114">
        <v>2</v>
      </c>
      <c r="D1023" s="116">
        <v>0.0017922455715970408</v>
      </c>
      <c r="E1023" s="116">
        <v>0.5856804215198813</v>
      </c>
      <c r="F1023" s="114" t="s">
        <v>1707</v>
      </c>
      <c r="G1023" s="114" t="b">
        <v>0</v>
      </c>
      <c r="H1023" s="114" t="b">
        <v>0</v>
      </c>
      <c r="I1023" s="114" t="b">
        <v>0</v>
      </c>
      <c r="J1023" s="114" t="b">
        <v>0</v>
      </c>
      <c r="K1023" s="114" t="b">
        <v>0</v>
      </c>
      <c r="L1023" s="114" t="b">
        <v>0</v>
      </c>
    </row>
    <row r="1024" spans="1:12" ht="15">
      <c r="A1024" s="114" t="s">
        <v>1742</v>
      </c>
      <c r="B1024" s="114" t="s">
        <v>1749</v>
      </c>
      <c r="C1024" s="114">
        <v>2</v>
      </c>
      <c r="D1024" s="116">
        <v>0.0021857488339028985</v>
      </c>
      <c r="E1024" s="116">
        <v>0.4618711900525513</v>
      </c>
      <c r="F1024" s="114" t="s">
        <v>1707</v>
      </c>
      <c r="G1024" s="114" t="b">
        <v>0</v>
      </c>
      <c r="H1024" s="114" t="b">
        <v>0</v>
      </c>
      <c r="I1024" s="114" t="b">
        <v>0</v>
      </c>
      <c r="J1024" s="114" t="b">
        <v>0</v>
      </c>
      <c r="K1024" s="114" t="b">
        <v>0</v>
      </c>
      <c r="L1024" s="114" t="b">
        <v>0</v>
      </c>
    </row>
    <row r="1025" spans="1:12" ht="15">
      <c r="A1025" s="114" t="s">
        <v>2026</v>
      </c>
      <c r="B1025" s="114" t="s">
        <v>1747</v>
      </c>
      <c r="C1025" s="114">
        <v>2</v>
      </c>
      <c r="D1025" s="116">
        <v>0.0017922455715970408</v>
      </c>
      <c r="E1025" s="116">
        <v>1.8287184702061758</v>
      </c>
      <c r="F1025" s="114" t="s">
        <v>1707</v>
      </c>
      <c r="G1025" s="114" t="b">
        <v>0</v>
      </c>
      <c r="H1025" s="114" t="b">
        <v>0</v>
      </c>
      <c r="I1025" s="114" t="b">
        <v>0</v>
      </c>
      <c r="J1025" s="114" t="b">
        <v>0</v>
      </c>
      <c r="K1025" s="114" t="b">
        <v>0</v>
      </c>
      <c r="L1025" s="114" t="b">
        <v>0</v>
      </c>
    </row>
    <row r="1026" spans="1:12" ht="15">
      <c r="A1026" s="114" t="s">
        <v>2015</v>
      </c>
      <c r="B1026" s="114" t="s">
        <v>1744</v>
      </c>
      <c r="C1026" s="114">
        <v>2</v>
      </c>
      <c r="D1026" s="116">
        <v>0.0021857488339028985</v>
      </c>
      <c r="E1026" s="116">
        <v>1.3515972154865135</v>
      </c>
      <c r="F1026" s="114" t="s">
        <v>1707</v>
      </c>
      <c r="G1026" s="114" t="b">
        <v>1</v>
      </c>
      <c r="H1026" s="114" t="b">
        <v>0</v>
      </c>
      <c r="I1026" s="114" t="b">
        <v>0</v>
      </c>
      <c r="J1026" s="114" t="b">
        <v>0</v>
      </c>
      <c r="K1026" s="114" t="b">
        <v>0</v>
      </c>
      <c r="L1026" s="114" t="b">
        <v>0</v>
      </c>
    </row>
    <row r="1027" spans="1:12" ht="15">
      <c r="A1027" s="114" t="s">
        <v>1744</v>
      </c>
      <c r="B1027" s="114" t="s">
        <v>2015</v>
      </c>
      <c r="C1027" s="114">
        <v>2</v>
      </c>
      <c r="D1027" s="116">
        <v>0.0021857488339028985</v>
      </c>
      <c r="E1027" s="116">
        <v>1.3515972154865135</v>
      </c>
      <c r="F1027" s="114" t="s">
        <v>1707</v>
      </c>
      <c r="G1027" s="114" t="b">
        <v>0</v>
      </c>
      <c r="H1027" s="114" t="b">
        <v>0</v>
      </c>
      <c r="I1027" s="114" t="b">
        <v>0</v>
      </c>
      <c r="J1027" s="114" t="b">
        <v>1</v>
      </c>
      <c r="K1027" s="114" t="b">
        <v>0</v>
      </c>
      <c r="L1027" s="114" t="b">
        <v>0</v>
      </c>
    </row>
    <row r="1028" spans="1:12" ht="15">
      <c r="A1028" s="114" t="s">
        <v>1871</v>
      </c>
      <c r="B1028" s="114" t="s">
        <v>1871</v>
      </c>
      <c r="C1028" s="114">
        <v>2</v>
      </c>
      <c r="D1028" s="116">
        <v>0.0021857488339028985</v>
      </c>
      <c r="E1028" s="116">
        <v>2.2680511640364385</v>
      </c>
      <c r="F1028" s="114" t="s">
        <v>1707</v>
      </c>
      <c r="G1028" s="114" t="b">
        <v>0</v>
      </c>
      <c r="H1028" s="114" t="b">
        <v>0</v>
      </c>
      <c r="I1028" s="114" t="b">
        <v>0</v>
      </c>
      <c r="J1028" s="114" t="b">
        <v>0</v>
      </c>
      <c r="K1028" s="114" t="b">
        <v>0</v>
      </c>
      <c r="L1028" s="114" t="b">
        <v>0</v>
      </c>
    </row>
    <row r="1029" spans="1:12" ht="15">
      <c r="A1029" s="114" t="s">
        <v>1871</v>
      </c>
      <c r="B1029" s="114" t="s">
        <v>1771</v>
      </c>
      <c r="C1029" s="114">
        <v>2</v>
      </c>
      <c r="D1029" s="116">
        <v>0.0021857488339028985</v>
      </c>
      <c r="E1029" s="116">
        <v>1.915868645925076</v>
      </c>
      <c r="F1029" s="114" t="s">
        <v>1707</v>
      </c>
      <c r="G1029" s="114" t="b">
        <v>0</v>
      </c>
      <c r="H1029" s="114" t="b">
        <v>0</v>
      </c>
      <c r="I1029" s="114" t="b">
        <v>0</v>
      </c>
      <c r="J1029" s="114" t="b">
        <v>0</v>
      </c>
      <c r="K1029" s="114" t="b">
        <v>1</v>
      </c>
      <c r="L1029" s="114" t="b">
        <v>0</v>
      </c>
    </row>
    <row r="1030" spans="1:12" ht="15">
      <c r="A1030" s="114" t="s">
        <v>1744</v>
      </c>
      <c r="B1030" s="114" t="s">
        <v>1744</v>
      </c>
      <c r="C1030" s="114">
        <v>2</v>
      </c>
      <c r="D1030" s="116">
        <v>0.0017922455715970408</v>
      </c>
      <c r="E1030" s="116">
        <v>0.43514326693658834</v>
      </c>
      <c r="F1030" s="114" t="s">
        <v>1707</v>
      </c>
      <c r="G1030" s="114" t="b">
        <v>0</v>
      </c>
      <c r="H1030" s="114" t="b">
        <v>0</v>
      </c>
      <c r="I1030" s="114" t="b">
        <v>0</v>
      </c>
      <c r="J1030" s="114" t="b">
        <v>0</v>
      </c>
      <c r="K1030" s="114" t="b">
        <v>0</v>
      </c>
      <c r="L1030" s="114" t="b">
        <v>0</v>
      </c>
    </row>
    <row r="1031" spans="1:12" ht="15">
      <c r="A1031" s="114" t="s">
        <v>1749</v>
      </c>
      <c r="B1031" s="114" t="s">
        <v>1746</v>
      </c>
      <c r="C1031" s="114">
        <v>2</v>
      </c>
      <c r="D1031" s="116">
        <v>0.0017922455715970408</v>
      </c>
      <c r="E1031" s="116">
        <v>1.070770605910819</v>
      </c>
      <c r="F1031" s="114" t="s">
        <v>1707</v>
      </c>
      <c r="G1031" s="114" t="b">
        <v>0</v>
      </c>
      <c r="H1031" s="114" t="b">
        <v>0</v>
      </c>
      <c r="I1031" s="114" t="b">
        <v>0</v>
      </c>
      <c r="J1031" s="114" t="b">
        <v>0</v>
      </c>
      <c r="K1031" s="114" t="b">
        <v>1</v>
      </c>
      <c r="L1031" s="114" t="b">
        <v>0</v>
      </c>
    </row>
    <row r="1032" spans="1:12" ht="15">
      <c r="A1032" s="114" t="s">
        <v>1739</v>
      </c>
      <c r="B1032" s="114" t="s">
        <v>1835</v>
      </c>
      <c r="C1032" s="114">
        <v>2</v>
      </c>
      <c r="D1032" s="116">
        <v>0.0021857488339028985</v>
      </c>
      <c r="E1032" s="116">
        <v>0.8075291711362377</v>
      </c>
      <c r="F1032" s="114" t="s">
        <v>1707</v>
      </c>
      <c r="G1032" s="114" t="b">
        <v>0</v>
      </c>
      <c r="H1032" s="114" t="b">
        <v>0</v>
      </c>
      <c r="I1032" s="114" t="b">
        <v>0</v>
      </c>
      <c r="J1032" s="114" t="b">
        <v>0</v>
      </c>
      <c r="K1032" s="114" t="b">
        <v>0</v>
      </c>
      <c r="L1032" s="114" t="b">
        <v>0</v>
      </c>
    </row>
    <row r="1033" spans="1:12" ht="15">
      <c r="A1033" s="114" t="s">
        <v>1856</v>
      </c>
      <c r="B1033" s="114" t="s">
        <v>1971</v>
      </c>
      <c r="C1033" s="114">
        <v>2</v>
      </c>
      <c r="D1033" s="116">
        <v>0.0017922455715970408</v>
      </c>
      <c r="E1033" s="116">
        <v>2.472171146692363</v>
      </c>
      <c r="F1033" s="114" t="s">
        <v>1707</v>
      </c>
      <c r="G1033" s="114" t="b">
        <v>0</v>
      </c>
      <c r="H1033" s="114" t="b">
        <v>0</v>
      </c>
      <c r="I1033" s="114" t="b">
        <v>0</v>
      </c>
      <c r="J1033" s="114" t="b">
        <v>0</v>
      </c>
      <c r="K1033" s="114" t="b">
        <v>0</v>
      </c>
      <c r="L1033" s="114" t="b">
        <v>0</v>
      </c>
    </row>
    <row r="1034" spans="1:12" ht="15">
      <c r="A1034" s="114" t="s">
        <v>1971</v>
      </c>
      <c r="B1034" s="114" t="s">
        <v>1740</v>
      </c>
      <c r="C1034" s="114">
        <v>2</v>
      </c>
      <c r="D1034" s="116">
        <v>0.0017922455715970408</v>
      </c>
      <c r="E1034" s="116">
        <v>1.0955941896358512</v>
      </c>
      <c r="F1034" s="114" t="s">
        <v>1707</v>
      </c>
      <c r="G1034" s="114" t="b">
        <v>0</v>
      </c>
      <c r="H1034" s="114" t="b">
        <v>0</v>
      </c>
      <c r="I1034" s="114" t="b">
        <v>0</v>
      </c>
      <c r="J1034" s="114" t="b">
        <v>0</v>
      </c>
      <c r="K1034" s="114" t="b">
        <v>0</v>
      </c>
      <c r="L1034" s="114" t="b">
        <v>0</v>
      </c>
    </row>
    <row r="1035" spans="1:12" ht="15">
      <c r="A1035" s="114" t="s">
        <v>1740</v>
      </c>
      <c r="B1035" s="114" t="s">
        <v>1753</v>
      </c>
      <c r="C1035" s="114">
        <v>2</v>
      </c>
      <c r="D1035" s="116">
        <v>0.0017922455715970408</v>
      </c>
      <c r="E1035" s="116">
        <v>0.22665847887821342</v>
      </c>
      <c r="F1035" s="114" t="s">
        <v>1707</v>
      </c>
      <c r="G1035" s="114" t="b">
        <v>0</v>
      </c>
      <c r="H1035" s="114" t="b">
        <v>0</v>
      </c>
      <c r="I1035" s="114" t="b">
        <v>0</v>
      </c>
      <c r="J1035" s="114" t="b">
        <v>0</v>
      </c>
      <c r="K1035" s="114" t="b">
        <v>0</v>
      </c>
      <c r="L1035" s="114" t="b">
        <v>0</v>
      </c>
    </row>
    <row r="1036" spans="1:12" ht="15">
      <c r="A1036" s="114" t="s">
        <v>1753</v>
      </c>
      <c r="B1036" s="114" t="s">
        <v>1740</v>
      </c>
      <c r="C1036" s="114">
        <v>2</v>
      </c>
      <c r="D1036" s="116">
        <v>0.0017922455715970408</v>
      </c>
      <c r="E1036" s="116">
        <v>0.03489634928223961</v>
      </c>
      <c r="F1036" s="114" t="s">
        <v>1707</v>
      </c>
      <c r="G1036" s="114" t="b">
        <v>0</v>
      </c>
      <c r="H1036" s="114" t="b">
        <v>0</v>
      </c>
      <c r="I1036" s="114" t="b">
        <v>0</v>
      </c>
      <c r="J1036" s="114" t="b">
        <v>0</v>
      </c>
      <c r="K1036" s="114" t="b">
        <v>0</v>
      </c>
      <c r="L1036" s="114" t="b">
        <v>0</v>
      </c>
    </row>
    <row r="1037" spans="1:12" ht="15">
      <c r="A1037" s="114" t="s">
        <v>1740</v>
      </c>
      <c r="B1037" s="114" t="s">
        <v>2013</v>
      </c>
      <c r="C1037" s="114">
        <v>2</v>
      </c>
      <c r="D1037" s="116">
        <v>0.0017922455715970408</v>
      </c>
      <c r="E1037" s="116">
        <v>1.129748465870157</v>
      </c>
      <c r="F1037" s="114" t="s">
        <v>1707</v>
      </c>
      <c r="G1037" s="114" t="b">
        <v>0</v>
      </c>
      <c r="H1037" s="114" t="b">
        <v>0</v>
      </c>
      <c r="I1037" s="114" t="b">
        <v>0</v>
      </c>
      <c r="J1037" s="114" t="b">
        <v>0</v>
      </c>
      <c r="K1037" s="114" t="b">
        <v>0</v>
      </c>
      <c r="L1037" s="114" t="b">
        <v>0</v>
      </c>
    </row>
    <row r="1038" spans="1:12" ht="15">
      <c r="A1038" s="114" t="s">
        <v>2013</v>
      </c>
      <c r="B1038" s="114" t="s">
        <v>1753</v>
      </c>
      <c r="C1038" s="114">
        <v>2</v>
      </c>
      <c r="D1038" s="116">
        <v>0.0017922455715970408</v>
      </c>
      <c r="E1038" s="116">
        <v>1.9670211683724572</v>
      </c>
      <c r="F1038" s="114" t="s">
        <v>1707</v>
      </c>
      <c r="G1038" s="114" t="b">
        <v>0</v>
      </c>
      <c r="H1038" s="114" t="b">
        <v>0</v>
      </c>
      <c r="I1038" s="114" t="b">
        <v>0</v>
      </c>
      <c r="J1038" s="114" t="b">
        <v>0</v>
      </c>
      <c r="K1038" s="114" t="b">
        <v>0</v>
      </c>
      <c r="L1038" s="114" t="b">
        <v>0</v>
      </c>
    </row>
    <row r="1039" spans="1:12" ht="15">
      <c r="A1039" s="114" t="s">
        <v>1856</v>
      </c>
      <c r="B1039" s="114" t="s">
        <v>1782</v>
      </c>
      <c r="C1039" s="114">
        <v>2</v>
      </c>
      <c r="D1039" s="116">
        <v>0.0017922455715970408</v>
      </c>
      <c r="E1039" s="116">
        <v>2.0742311380203255</v>
      </c>
      <c r="F1039" s="114" t="s">
        <v>1707</v>
      </c>
      <c r="G1039" s="114" t="b">
        <v>0</v>
      </c>
      <c r="H1039" s="114" t="b">
        <v>0</v>
      </c>
      <c r="I1039" s="114" t="b">
        <v>0</v>
      </c>
      <c r="J1039" s="114" t="b">
        <v>0</v>
      </c>
      <c r="K1039" s="114" t="b">
        <v>0</v>
      </c>
      <c r="L1039" s="114" t="b">
        <v>0</v>
      </c>
    </row>
    <row r="1040" spans="1:12" ht="15">
      <c r="A1040" s="114" t="s">
        <v>1782</v>
      </c>
      <c r="B1040" s="114" t="s">
        <v>2083</v>
      </c>
      <c r="C1040" s="114">
        <v>2</v>
      </c>
      <c r="D1040" s="116">
        <v>0.0017922455715970408</v>
      </c>
      <c r="E1040" s="116">
        <v>2.5690811597004197</v>
      </c>
      <c r="F1040" s="114" t="s">
        <v>1707</v>
      </c>
      <c r="G1040" s="114" t="b">
        <v>0</v>
      </c>
      <c r="H1040" s="114" t="b">
        <v>0</v>
      </c>
      <c r="I1040" s="114" t="b">
        <v>0</v>
      </c>
      <c r="J1040" s="114" t="b">
        <v>0</v>
      </c>
      <c r="K1040" s="114" t="b">
        <v>0</v>
      </c>
      <c r="L1040" s="114" t="b">
        <v>0</v>
      </c>
    </row>
    <row r="1041" spans="1:12" ht="15">
      <c r="A1041" s="114" t="s">
        <v>2083</v>
      </c>
      <c r="B1041" s="114" t="s">
        <v>1972</v>
      </c>
      <c r="C1041" s="114">
        <v>2</v>
      </c>
      <c r="D1041" s="116">
        <v>0.0017922455715970408</v>
      </c>
      <c r="E1041" s="116">
        <v>2.870111155364401</v>
      </c>
      <c r="F1041" s="114" t="s">
        <v>1707</v>
      </c>
      <c r="G1041" s="114" t="b">
        <v>0</v>
      </c>
      <c r="H1041" s="114" t="b">
        <v>0</v>
      </c>
      <c r="I1041" s="114" t="b">
        <v>0</v>
      </c>
      <c r="J1041" s="114" t="b">
        <v>0</v>
      </c>
      <c r="K1041" s="114" t="b">
        <v>0</v>
      </c>
      <c r="L1041" s="114" t="b">
        <v>0</v>
      </c>
    </row>
    <row r="1042" spans="1:12" ht="15">
      <c r="A1042" s="114" t="s">
        <v>1972</v>
      </c>
      <c r="B1042" s="114" t="s">
        <v>1946</v>
      </c>
      <c r="C1042" s="114">
        <v>2</v>
      </c>
      <c r="D1042" s="116">
        <v>0.0017922455715970408</v>
      </c>
      <c r="E1042" s="116">
        <v>2.870111155364401</v>
      </c>
      <c r="F1042" s="114" t="s">
        <v>1707</v>
      </c>
      <c r="G1042" s="114" t="b">
        <v>0</v>
      </c>
      <c r="H1042" s="114" t="b">
        <v>0</v>
      </c>
      <c r="I1042" s="114" t="b">
        <v>0</v>
      </c>
      <c r="J1042" s="114" t="b">
        <v>0</v>
      </c>
      <c r="K1042" s="114" t="b">
        <v>0</v>
      </c>
      <c r="L1042" s="114" t="b">
        <v>0</v>
      </c>
    </row>
    <row r="1043" spans="1:12" ht="15">
      <c r="A1043" s="114" t="s">
        <v>1946</v>
      </c>
      <c r="B1043" s="114" t="s">
        <v>2084</v>
      </c>
      <c r="C1043" s="114">
        <v>2</v>
      </c>
      <c r="D1043" s="116">
        <v>0.0017922455715970408</v>
      </c>
      <c r="E1043" s="116">
        <v>2.870111155364401</v>
      </c>
      <c r="F1043" s="114" t="s">
        <v>1707</v>
      </c>
      <c r="G1043" s="114" t="b">
        <v>0</v>
      </c>
      <c r="H1043" s="114" t="b">
        <v>0</v>
      </c>
      <c r="I1043" s="114" t="b">
        <v>0</v>
      </c>
      <c r="J1043" s="114" t="b">
        <v>0</v>
      </c>
      <c r="K1043" s="114" t="b">
        <v>0</v>
      </c>
      <c r="L1043" s="114" t="b">
        <v>0</v>
      </c>
    </row>
    <row r="1044" spans="1:12" ht="15">
      <c r="A1044" s="114" t="s">
        <v>2084</v>
      </c>
      <c r="B1044" s="114" t="s">
        <v>2085</v>
      </c>
      <c r="C1044" s="114">
        <v>2</v>
      </c>
      <c r="D1044" s="116">
        <v>0.0017922455715970408</v>
      </c>
      <c r="E1044" s="116">
        <v>2.870111155364401</v>
      </c>
      <c r="F1044" s="114" t="s">
        <v>1707</v>
      </c>
      <c r="G1044" s="114" t="b">
        <v>0</v>
      </c>
      <c r="H1044" s="114" t="b">
        <v>0</v>
      </c>
      <c r="I1044" s="114" t="b">
        <v>0</v>
      </c>
      <c r="J1044" s="114" t="b">
        <v>0</v>
      </c>
      <c r="K1044" s="114" t="b">
        <v>0</v>
      </c>
      <c r="L1044" s="114" t="b">
        <v>0</v>
      </c>
    </row>
    <row r="1045" spans="1:12" ht="15">
      <c r="A1045" s="114" t="s">
        <v>2085</v>
      </c>
      <c r="B1045" s="114" t="s">
        <v>1881</v>
      </c>
      <c r="C1045" s="114">
        <v>2</v>
      </c>
      <c r="D1045" s="116">
        <v>0.0017922455715970408</v>
      </c>
      <c r="E1045" s="116">
        <v>2.870111155364401</v>
      </c>
      <c r="F1045" s="114" t="s">
        <v>1707</v>
      </c>
      <c r="G1045" s="114" t="b">
        <v>0</v>
      </c>
      <c r="H1045" s="114" t="b">
        <v>0</v>
      </c>
      <c r="I1045" s="114" t="b">
        <v>0</v>
      </c>
      <c r="J1045" s="114" t="b">
        <v>0</v>
      </c>
      <c r="K1045" s="114" t="b">
        <v>0</v>
      </c>
      <c r="L1045" s="114" t="b">
        <v>0</v>
      </c>
    </row>
    <row r="1046" spans="1:12" ht="15">
      <c r="A1046" s="114" t="s">
        <v>1881</v>
      </c>
      <c r="B1046" s="114" t="s">
        <v>1947</v>
      </c>
      <c r="C1046" s="114">
        <v>2</v>
      </c>
      <c r="D1046" s="116">
        <v>0.0017922455715970408</v>
      </c>
      <c r="E1046" s="116">
        <v>2.6940198963087196</v>
      </c>
      <c r="F1046" s="114" t="s">
        <v>1707</v>
      </c>
      <c r="G1046" s="114" t="b">
        <v>0</v>
      </c>
      <c r="H1046" s="114" t="b">
        <v>0</v>
      </c>
      <c r="I1046" s="114" t="b">
        <v>0</v>
      </c>
      <c r="J1046" s="114" t="b">
        <v>0</v>
      </c>
      <c r="K1046" s="114" t="b">
        <v>0</v>
      </c>
      <c r="L1046" s="114" t="b">
        <v>0</v>
      </c>
    </row>
    <row r="1047" spans="1:12" ht="15">
      <c r="A1047" s="114" t="s">
        <v>2217</v>
      </c>
      <c r="B1047" s="114" t="s">
        <v>2218</v>
      </c>
      <c r="C1047" s="114">
        <v>2</v>
      </c>
      <c r="D1047" s="116">
        <v>0.0021857488339028985</v>
      </c>
      <c r="E1047" s="116">
        <v>2.5179286372530383</v>
      </c>
      <c r="F1047" s="114" t="s">
        <v>1707</v>
      </c>
      <c r="G1047" s="114" t="b">
        <v>0</v>
      </c>
      <c r="H1047" s="114" t="b">
        <v>0</v>
      </c>
      <c r="I1047" s="114" t="b">
        <v>0</v>
      </c>
      <c r="J1047" s="114" t="b">
        <v>0</v>
      </c>
      <c r="K1047" s="114" t="b">
        <v>0</v>
      </c>
      <c r="L1047" s="114" t="b">
        <v>0</v>
      </c>
    </row>
    <row r="1048" spans="1:12" ht="15">
      <c r="A1048" s="114" t="s">
        <v>2415</v>
      </c>
      <c r="B1048" s="114" t="s">
        <v>2416</v>
      </c>
      <c r="C1048" s="114">
        <v>2</v>
      </c>
      <c r="D1048" s="116">
        <v>0.0021857488339028985</v>
      </c>
      <c r="E1048" s="116">
        <v>2.870111155364401</v>
      </c>
      <c r="F1048" s="114" t="s">
        <v>1707</v>
      </c>
      <c r="G1048" s="114" t="b">
        <v>0</v>
      </c>
      <c r="H1048" s="114" t="b">
        <v>0</v>
      </c>
      <c r="I1048" s="114" t="b">
        <v>0</v>
      </c>
      <c r="J1048" s="114" t="b">
        <v>1</v>
      </c>
      <c r="K1048" s="114" t="b">
        <v>0</v>
      </c>
      <c r="L1048" s="114" t="b">
        <v>0</v>
      </c>
    </row>
    <row r="1049" spans="1:12" ht="15">
      <c r="A1049" s="114" t="s">
        <v>1852</v>
      </c>
      <c r="B1049" s="114" t="s">
        <v>2215</v>
      </c>
      <c r="C1049" s="114">
        <v>2</v>
      </c>
      <c r="D1049" s="116">
        <v>0.0021857488339028985</v>
      </c>
      <c r="E1049" s="116">
        <v>2.091959904980757</v>
      </c>
      <c r="F1049" s="114" t="s">
        <v>1707</v>
      </c>
      <c r="G1049" s="114" t="b">
        <v>0</v>
      </c>
      <c r="H1049" s="114" t="b">
        <v>0</v>
      </c>
      <c r="I1049" s="114" t="b">
        <v>0</v>
      </c>
      <c r="J1049" s="114" t="b">
        <v>0</v>
      </c>
      <c r="K1049" s="114" t="b">
        <v>0</v>
      </c>
      <c r="L1049" s="114" t="b">
        <v>0</v>
      </c>
    </row>
    <row r="1050" spans="1:12" ht="15">
      <c r="A1050" s="114" t="s">
        <v>1751</v>
      </c>
      <c r="B1050" s="114" t="s">
        <v>1741</v>
      </c>
      <c r="C1050" s="114">
        <v>2</v>
      </c>
      <c r="D1050" s="116">
        <v>0.0017922455715970408</v>
      </c>
      <c r="E1050" s="116">
        <v>0.5557171981424381</v>
      </c>
      <c r="F1050" s="114" t="s">
        <v>1707</v>
      </c>
      <c r="G1050" s="114" t="b">
        <v>0</v>
      </c>
      <c r="H1050" s="114" t="b">
        <v>1</v>
      </c>
      <c r="I1050" s="114" t="b">
        <v>0</v>
      </c>
      <c r="J1050" s="114" t="b">
        <v>0</v>
      </c>
      <c r="K1050" s="114" t="b">
        <v>0</v>
      </c>
      <c r="L1050" s="114" t="b">
        <v>0</v>
      </c>
    </row>
    <row r="1051" spans="1:12" ht="15">
      <c r="A1051" s="114" t="s">
        <v>1739</v>
      </c>
      <c r="B1051" s="114" t="s">
        <v>1824</v>
      </c>
      <c r="C1051" s="114">
        <v>2</v>
      </c>
      <c r="D1051" s="116">
        <v>0.0017922455715970408</v>
      </c>
      <c r="E1051" s="116">
        <v>0.8075291711362377</v>
      </c>
      <c r="F1051" s="114" t="s">
        <v>1707</v>
      </c>
      <c r="G1051" s="114" t="b">
        <v>0</v>
      </c>
      <c r="H1051" s="114" t="b">
        <v>0</v>
      </c>
      <c r="I1051" s="114" t="b">
        <v>0</v>
      </c>
      <c r="J1051" s="114" t="b">
        <v>0</v>
      </c>
      <c r="K1051" s="114" t="b">
        <v>0</v>
      </c>
      <c r="L1051" s="114" t="b">
        <v>0</v>
      </c>
    </row>
    <row r="1052" spans="1:12" ht="15">
      <c r="A1052" s="114" t="s">
        <v>1740</v>
      </c>
      <c r="B1052" s="114" t="s">
        <v>1792</v>
      </c>
      <c r="C1052" s="114">
        <v>2</v>
      </c>
      <c r="D1052" s="116">
        <v>0.0021857488339028985</v>
      </c>
      <c r="E1052" s="116">
        <v>1.129748465870157</v>
      </c>
      <c r="F1052" s="114" t="s">
        <v>1707</v>
      </c>
      <c r="G1052" s="114" t="b">
        <v>0</v>
      </c>
      <c r="H1052" s="114" t="b">
        <v>0</v>
      </c>
      <c r="I1052" s="114" t="b">
        <v>0</v>
      </c>
      <c r="J1052" s="114" t="b">
        <v>0</v>
      </c>
      <c r="K1052" s="114" t="b">
        <v>0</v>
      </c>
      <c r="L1052" s="114" t="b">
        <v>0</v>
      </c>
    </row>
    <row r="1053" spans="1:12" ht="15">
      <c r="A1053" s="114" t="s">
        <v>1757</v>
      </c>
      <c r="B1053" s="114" t="s">
        <v>1791</v>
      </c>
      <c r="C1053" s="114">
        <v>2</v>
      </c>
      <c r="D1053" s="116">
        <v>0.0021857488339028985</v>
      </c>
      <c r="E1053" s="116">
        <v>2.6940198963087196</v>
      </c>
      <c r="F1053" s="114" t="s">
        <v>1707</v>
      </c>
      <c r="G1053" s="114" t="b">
        <v>0</v>
      </c>
      <c r="H1053" s="114" t="b">
        <v>0</v>
      </c>
      <c r="I1053" s="114" t="b">
        <v>0</v>
      </c>
      <c r="J1053" s="114" t="b">
        <v>0</v>
      </c>
      <c r="K1053" s="114" t="b">
        <v>0</v>
      </c>
      <c r="L1053" s="114" t="b">
        <v>0</v>
      </c>
    </row>
    <row r="1054" spans="1:12" ht="15">
      <c r="A1054" s="114" t="s">
        <v>1791</v>
      </c>
      <c r="B1054" s="114" t="s">
        <v>1740</v>
      </c>
      <c r="C1054" s="114">
        <v>2</v>
      </c>
      <c r="D1054" s="116">
        <v>0.0021857488339028985</v>
      </c>
      <c r="E1054" s="116">
        <v>1.0955941896358512</v>
      </c>
      <c r="F1054" s="114" t="s">
        <v>1707</v>
      </c>
      <c r="G1054" s="114" t="b">
        <v>0</v>
      </c>
      <c r="H1054" s="114" t="b">
        <v>0</v>
      </c>
      <c r="I1054" s="114" t="b">
        <v>0</v>
      </c>
      <c r="J1054" s="114" t="b">
        <v>0</v>
      </c>
      <c r="K1054" s="114" t="b">
        <v>0</v>
      </c>
      <c r="L1054" s="114" t="b">
        <v>0</v>
      </c>
    </row>
    <row r="1055" spans="1:12" ht="15">
      <c r="A1055" s="114" t="s">
        <v>1739</v>
      </c>
      <c r="B1055" s="114" t="s">
        <v>1759</v>
      </c>
      <c r="C1055" s="114">
        <v>2</v>
      </c>
      <c r="D1055" s="116">
        <v>0.0017922455715970408</v>
      </c>
      <c r="E1055" s="116">
        <v>0.029377920752594107</v>
      </c>
      <c r="F1055" s="114" t="s">
        <v>1707</v>
      </c>
      <c r="G1055" s="114" t="b">
        <v>0</v>
      </c>
      <c r="H1055" s="114" t="b">
        <v>0</v>
      </c>
      <c r="I1055" s="114" t="b">
        <v>0</v>
      </c>
      <c r="J1055" s="114" t="b">
        <v>0</v>
      </c>
      <c r="K1055" s="114" t="b">
        <v>0</v>
      </c>
      <c r="L1055" s="114" t="b">
        <v>0</v>
      </c>
    </row>
    <row r="1056" spans="1:12" ht="15">
      <c r="A1056" s="114" t="s">
        <v>1973</v>
      </c>
      <c r="B1056" s="114" t="s">
        <v>1762</v>
      </c>
      <c r="C1056" s="114">
        <v>2</v>
      </c>
      <c r="D1056" s="116">
        <v>0.0017922455715970408</v>
      </c>
      <c r="E1056" s="116">
        <v>1.3515972154865132</v>
      </c>
      <c r="F1056" s="114" t="s">
        <v>1707</v>
      </c>
      <c r="G1056" s="114" t="b">
        <v>0</v>
      </c>
      <c r="H1056" s="114" t="b">
        <v>0</v>
      </c>
      <c r="I1056" s="114" t="b">
        <v>0</v>
      </c>
      <c r="J1056" s="114" t="b">
        <v>0</v>
      </c>
      <c r="K1056" s="114" t="b">
        <v>0</v>
      </c>
      <c r="L1056" s="114" t="b">
        <v>0</v>
      </c>
    </row>
    <row r="1057" spans="1:12" ht="15">
      <c r="A1057" s="114" t="s">
        <v>1747</v>
      </c>
      <c r="B1057" s="114" t="s">
        <v>1762</v>
      </c>
      <c r="C1057" s="114">
        <v>2</v>
      </c>
      <c r="D1057" s="116">
        <v>0.0017922455715970408</v>
      </c>
      <c r="E1057" s="116">
        <v>0.7873257850479508</v>
      </c>
      <c r="F1057" s="114" t="s">
        <v>1707</v>
      </c>
      <c r="G1057" s="114" t="b">
        <v>0</v>
      </c>
      <c r="H1057" s="114" t="b">
        <v>0</v>
      </c>
      <c r="I1057" s="114" t="b">
        <v>0</v>
      </c>
      <c r="J1057" s="114" t="b">
        <v>0</v>
      </c>
      <c r="K1057" s="114" t="b">
        <v>0</v>
      </c>
      <c r="L1057" s="114" t="b">
        <v>0</v>
      </c>
    </row>
    <row r="1058" spans="1:12" ht="15">
      <c r="A1058" s="114" t="s">
        <v>1842</v>
      </c>
      <c r="B1058" s="114" t="s">
        <v>1739</v>
      </c>
      <c r="C1058" s="114">
        <v>2</v>
      </c>
      <c r="D1058" s="116">
        <v>0.0017922455715970408</v>
      </c>
      <c r="E1058" s="116">
        <v>0.3418373781973571</v>
      </c>
      <c r="F1058" s="114" t="s">
        <v>1707</v>
      </c>
      <c r="G1058" s="114" t="b">
        <v>0</v>
      </c>
      <c r="H1058" s="114" t="b">
        <v>0</v>
      </c>
      <c r="I1058" s="114" t="b">
        <v>0</v>
      </c>
      <c r="J1058" s="114" t="b">
        <v>0</v>
      </c>
      <c r="K1058" s="114" t="b">
        <v>0</v>
      </c>
      <c r="L1058" s="114" t="b">
        <v>0</v>
      </c>
    </row>
    <row r="1059" spans="1:12" ht="15">
      <c r="A1059" s="114" t="s">
        <v>1748</v>
      </c>
      <c r="B1059" s="114" t="s">
        <v>1751</v>
      </c>
      <c r="C1059" s="114">
        <v>2</v>
      </c>
      <c r="D1059" s="116">
        <v>0.0017922455715970408</v>
      </c>
      <c r="E1059" s="116">
        <v>1.1199886285810008</v>
      </c>
      <c r="F1059" s="114" t="s">
        <v>1707</v>
      </c>
      <c r="G1059" s="114" t="b">
        <v>0</v>
      </c>
      <c r="H1059" s="114" t="b">
        <v>0</v>
      </c>
      <c r="I1059" s="114" t="b">
        <v>0</v>
      </c>
      <c r="J1059" s="114" t="b">
        <v>0</v>
      </c>
      <c r="K1059" s="114" t="b">
        <v>1</v>
      </c>
      <c r="L1059" s="114" t="b">
        <v>0</v>
      </c>
    </row>
    <row r="1060" spans="1:12" ht="15">
      <c r="A1060" s="114" t="s">
        <v>1739</v>
      </c>
      <c r="B1060" s="114" t="s">
        <v>1849</v>
      </c>
      <c r="C1060" s="114">
        <v>2</v>
      </c>
      <c r="D1060" s="116">
        <v>0.0017922455715970408</v>
      </c>
      <c r="E1060" s="116">
        <v>0.9836204301919189</v>
      </c>
      <c r="F1060" s="114" t="s">
        <v>1707</v>
      </c>
      <c r="G1060" s="114" t="b">
        <v>0</v>
      </c>
      <c r="H1060" s="114" t="b">
        <v>0</v>
      </c>
      <c r="I1060" s="114" t="b">
        <v>0</v>
      </c>
      <c r="J1060" s="114" t="b">
        <v>0</v>
      </c>
      <c r="K1060" s="114" t="b">
        <v>0</v>
      </c>
      <c r="L1060" s="114" t="b">
        <v>0</v>
      </c>
    </row>
    <row r="1061" spans="1:12" ht="15">
      <c r="A1061" s="114" t="s">
        <v>1771</v>
      </c>
      <c r="B1061" s="114" t="s">
        <v>1968</v>
      </c>
      <c r="C1061" s="114">
        <v>2</v>
      </c>
      <c r="D1061" s="116">
        <v>0.0017922455715970408</v>
      </c>
      <c r="E1061" s="116">
        <v>1.915868645925076</v>
      </c>
      <c r="F1061" s="114" t="s">
        <v>1707</v>
      </c>
      <c r="G1061" s="114" t="b">
        <v>0</v>
      </c>
      <c r="H1061" s="114" t="b">
        <v>1</v>
      </c>
      <c r="I1061" s="114" t="b">
        <v>0</v>
      </c>
      <c r="J1061" s="114" t="b">
        <v>0</v>
      </c>
      <c r="K1061" s="114" t="b">
        <v>0</v>
      </c>
      <c r="L1061" s="114" t="b">
        <v>0</v>
      </c>
    </row>
    <row r="1062" spans="1:12" ht="15">
      <c r="A1062" s="114" t="s">
        <v>1784</v>
      </c>
      <c r="B1062" s="114" t="s">
        <v>1771</v>
      </c>
      <c r="C1062" s="114">
        <v>2</v>
      </c>
      <c r="D1062" s="116">
        <v>0.0017922455715970408</v>
      </c>
      <c r="E1062" s="116">
        <v>2.216898641589057</v>
      </c>
      <c r="F1062" s="114" t="s">
        <v>1707</v>
      </c>
      <c r="G1062" s="114" t="b">
        <v>0</v>
      </c>
      <c r="H1062" s="114" t="b">
        <v>0</v>
      </c>
      <c r="I1062" s="114" t="b">
        <v>0</v>
      </c>
      <c r="J1062" s="114" t="b">
        <v>0</v>
      </c>
      <c r="K1062" s="114" t="b">
        <v>1</v>
      </c>
      <c r="L1062" s="114" t="b">
        <v>0</v>
      </c>
    </row>
    <row r="1063" spans="1:12" ht="15">
      <c r="A1063" s="114" t="s">
        <v>1771</v>
      </c>
      <c r="B1063" s="114" t="s">
        <v>1780</v>
      </c>
      <c r="C1063" s="114">
        <v>2</v>
      </c>
      <c r="D1063" s="116">
        <v>0.0017922455715970408</v>
      </c>
      <c r="E1063" s="116">
        <v>2.216898641589057</v>
      </c>
      <c r="F1063" s="114" t="s">
        <v>1707</v>
      </c>
      <c r="G1063" s="114" t="b">
        <v>0</v>
      </c>
      <c r="H1063" s="114" t="b">
        <v>1</v>
      </c>
      <c r="I1063" s="114" t="b">
        <v>0</v>
      </c>
      <c r="J1063" s="114" t="b">
        <v>0</v>
      </c>
      <c r="K1063" s="114" t="b">
        <v>0</v>
      </c>
      <c r="L1063" s="114" t="b">
        <v>0</v>
      </c>
    </row>
    <row r="1064" spans="1:12" ht="15">
      <c r="A1064" s="114" t="s">
        <v>1780</v>
      </c>
      <c r="B1064" s="114" t="s">
        <v>1781</v>
      </c>
      <c r="C1064" s="114">
        <v>2</v>
      </c>
      <c r="D1064" s="116">
        <v>0.0017922455715970408</v>
      </c>
      <c r="E1064" s="116">
        <v>2.870111155364401</v>
      </c>
      <c r="F1064" s="114" t="s">
        <v>1707</v>
      </c>
      <c r="G1064" s="114" t="b">
        <v>0</v>
      </c>
      <c r="H1064" s="114" t="b">
        <v>0</v>
      </c>
      <c r="I1064" s="114" t="b">
        <v>0</v>
      </c>
      <c r="J1064" s="114" t="b">
        <v>0</v>
      </c>
      <c r="K1064" s="114" t="b">
        <v>0</v>
      </c>
      <c r="L1064" s="114" t="b">
        <v>0</v>
      </c>
    </row>
    <row r="1065" spans="1:12" ht="15">
      <c r="A1065" s="114" t="s">
        <v>1781</v>
      </c>
      <c r="B1065" s="114" t="s">
        <v>1746</v>
      </c>
      <c r="C1065" s="114">
        <v>2</v>
      </c>
      <c r="D1065" s="116">
        <v>0.0017922455715970408</v>
      </c>
      <c r="E1065" s="116">
        <v>1.915868645925076</v>
      </c>
      <c r="F1065" s="114" t="s">
        <v>1707</v>
      </c>
      <c r="G1065" s="114" t="b">
        <v>0</v>
      </c>
      <c r="H1065" s="114" t="b">
        <v>0</v>
      </c>
      <c r="I1065" s="114" t="b">
        <v>0</v>
      </c>
      <c r="J1065" s="114" t="b">
        <v>0</v>
      </c>
      <c r="K1065" s="114" t="b">
        <v>1</v>
      </c>
      <c r="L1065" s="114" t="b">
        <v>0</v>
      </c>
    </row>
    <row r="1066" spans="1:12" ht="15">
      <c r="A1066" s="114" t="s">
        <v>1746</v>
      </c>
      <c r="B1066" s="114" t="s">
        <v>1939</v>
      </c>
      <c r="C1066" s="114">
        <v>2</v>
      </c>
      <c r="D1066" s="116">
        <v>0.0017922455715970408</v>
      </c>
      <c r="E1066" s="116">
        <v>1.7397773868693946</v>
      </c>
      <c r="F1066" s="114" t="s">
        <v>1707</v>
      </c>
      <c r="G1066" s="114" t="b">
        <v>0</v>
      </c>
      <c r="H1066" s="114" t="b">
        <v>1</v>
      </c>
      <c r="I1066" s="114" t="b">
        <v>0</v>
      </c>
      <c r="J1066" s="114" t="b">
        <v>1</v>
      </c>
      <c r="K1066" s="114" t="b">
        <v>0</v>
      </c>
      <c r="L1066" s="114" t="b">
        <v>0</v>
      </c>
    </row>
    <row r="1067" spans="1:12" ht="15">
      <c r="A1067" s="114" t="s">
        <v>1739</v>
      </c>
      <c r="B1067" s="114" t="s">
        <v>1804</v>
      </c>
      <c r="C1067" s="114">
        <v>2</v>
      </c>
      <c r="D1067" s="116">
        <v>0.0017922455715970408</v>
      </c>
      <c r="E1067" s="116">
        <v>0.9836204301919189</v>
      </c>
      <c r="F1067" s="114" t="s">
        <v>1707</v>
      </c>
      <c r="G1067" s="114" t="b">
        <v>0</v>
      </c>
      <c r="H1067" s="114" t="b">
        <v>0</v>
      </c>
      <c r="I1067" s="114" t="b">
        <v>0</v>
      </c>
      <c r="J1067" s="114" t="b">
        <v>0</v>
      </c>
      <c r="K1067" s="114" t="b">
        <v>0</v>
      </c>
      <c r="L1067" s="114" t="b">
        <v>0</v>
      </c>
    </row>
    <row r="1068" spans="1:12" ht="15">
      <c r="A1068" s="114" t="s">
        <v>1804</v>
      </c>
      <c r="B1068" s="114" t="s">
        <v>1741</v>
      </c>
      <c r="C1068" s="114">
        <v>2</v>
      </c>
      <c r="D1068" s="116">
        <v>0.0017922455715970408</v>
      </c>
      <c r="E1068" s="116">
        <v>1.4307784615341381</v>
      </c>
      <c r="F1068" s="114" t="s">
        <v>1707</v>
      </c>
      <c r="G1068" s="114" t="b">
        <v>0</v>
      </c>
      <c r="H1068" s="114" t="b">
        <v>0</v>
      </c>
      <c r="I1068" s="114" t="b">
        <v>0</v>
      </c>
      <c r="J1068" s="114" t="b">
        <v>0</v>
      </c>
      <c r="K1068" s="114" t="b">
        <v>0</v>
      </c>
      <c r="L1068" s="114" t="b">
        <v>0</v>
      </c>
    </row>
    <row r="1069" spans="1:12" ht="15">
      <c r="A1069" s="114" t="s">
        <v>1740</v>
      </c>
      <c r="B1069" s="114" t="s">
        <v>1741</v>
      </c>
      <c r="C1069" s="114">
        <v>2</v>
      </c>
      <c r="D1069" s="116">
        <v>0.0017922455715970408</v>
      </c>
      <c r="E1069" s="116">
        <v>-0.30958422796010565</v>
      </c>
      <c r="F1069" s="114" t="s">
        <v>1707</v>
      </c>
      <c r="G1069" s="114" t="b">
        <v>0</v>
      </c>
      <c r="H1069" s="114" t="b">
        <v>0</v>
      </c>
      <c r="I1069" s="114" t="b">
        <v>0</v>
      </c>
      <c r="J1069" s="114" t="b">
        <v>0</v>
      </c>
      <c r="K1069" s="114" t="b">
        <v>0</v>
      </c>
      <c r="L1069" s="114" t="b">
        <v>0</v>
      </c>
    </row>
    <row r="1070" spans="1:12" ht="15">
      <c r="A1070" s="114" t="s">
        <v>1743</v>
      </c>
      <c r="B1070" s="114" t="s">
        <v>1751</v>
      </c>
      <c r="C1070" s="114">
        <v>2</v>
      </c>
      <c r="D1070" s="116">
        <v>0.0017922455715970408</v>
      </c>
      <c r="E1070" s="116">
        <v>0.5971098833006632</v>
      </c>
      <c r="F1070" s="114" t="s">
        <v>1707</v>
      </c>
      <c r="G1070" s="114" t="b">
        <v>0</v>
      </c>
      <c r="H1070" s="114" t="b">
        <v>0</v>
      </c>
      <c r="I1070" s="114" t="b">
        <v>0</v>
      </c>
      <c r="J1070" s="114" t="b">
        <v>0</v>
      </c>
      <c r="K1070" s="114" t="b">
        <v>1</v>
      </c>
      <c r="L1070" s="114" t="b">
        <v>0</v>
      </c>
    </row>
    <row r="1071" spans="1:12" ht="15">
      <c r="A1071" s="114" t="s">
        <v>1819</v>
      </c>
      <c r="B1071" s="114" t="s">
        <v>1762</v>
      </c>
      <c r="C1071" s="114">
        <v>2</v>
      </c>
      <c r="D1071" s="116">
        <v>0.0021857488339028985</v>
      </c>
      <c r="E1071" s="116">
        <v>1.129748465870157</v>
      </c>
      <c r="F1071" s="114" t="s">
        <v>1707</v>
      </c>
      <c r="G1071" s="114" t="b">
        <v>0</v>
      </c>
      <c r="H1071" s="114" t="b">
        <v>0</v>
      </c>
      <c r="I1071" s="114" t="b">
        <v>0</v>
      </c>
      <c r="J1071" s="114" t="b">
        <v>0</v>
      </c>
      <c r="K1071" s="114" t="b">
        <v>0</v>
      </c>
      <c r="L1071" s="114" t="b">
        <v>0</v>
      </c>
    </row>
    <row r="1072" spans="1:12" ht="15">
      <c r="A1072" s="114" t="s">
        <v>1819</v>
      </c>
      <c r="B1072" s="114" t="s">
        <v>1819</v>
      </c>
      <c r="C1072" s="114">
        <v>2</v>
      </c>
      <c r="D1072" s="116">
        <v>0.0017922455715970408</v>
      </c>
      <c r="E1072" s="116">
        <v>1.4721711466923633</v>
      </c>
      <c r="F1072" s="114" t="s">
        <v>1707</v>
      </c>
      <c r="G1072" s="114" t="b">
        <v>0</v>
      </c>
      <c r="H1072" s="114" t="b">
        <v>0</v>
      </c>
      <c r="I1072" s="114" t="b">
        <v>0</v>
      </c>
      <c r="J1072" s="114" t="b">
        <v>0</v>
      </c>
      <c r="K1072" s="114" t="b">
        <v>0</v>
      </c>
      <c r="L1072" s="114" t="b">
        <v>0</v>
      </c>
    </row>
    <row r="1073" spans="1:12" ht="15">
      <c r="A1073" s="114" t="s">
        <v>1819</v>
      </c>
      <c r="B1073" s="114" t="s">
        <v>1759</v>
      </c>
      <c r="C1073" s="114">
        <v>2</v>
      </c>
      <c r="D1073" s="116">
        <v>0.0017922455715970408</v>
      </c>
      <c r="E1073" s="116">
        <v>1.2168986415890573</v>
      </c>
      <c r="F1073" s="114" t="s">
        <v>1707</v>
      </c>
      <c r="G1073" s="114" t="b">
        <v>0</v>
      </c>
      <c r="H1073" s="114" t="b">
        <v>0</v>
      </c>
      <c r="I1073" s="114" t="b">
        <v>0</v>
      </c>
      <c r="J1073" s="114" t="b">
        <v>0</v>
      </c>
      <c r="K1073" s="114" t="b">
        <v>0</v>
      </c>
      <c r="L1073" s="114" t="b">
        <v>0</v>
      </c>
    </row>
    <row r="1074" spans="1:12" ht="15">
      <c r="A1074" s="114" t="s">
        <v>1740</v>
      </c>
      <c r="B1074" s="114" t="s">
        <v>1762</v>
      </c>
      <c r="C1074" s="114">
        <v>2</v>
      </c>
      <c r="D1074" s="116">
        <v>0.0017922455715970408</v>
      </c>
      <c r="E1074" s="116">
        <v>0.08835578071193197</v>
      </c>
      <c r="F1074" s="114" t="s">
        <v>1707</v>
      </c>
      <c r="G1074" s="114" t="b">
        <v>0</v>
      </c>
      <c r="H1074" s="114" t="b">
        <v>0</v>
      </c>
      <c r="I1074" s="114" t="b">
        <v>0</v>
      </c>
      <c r="J1074" s="114" t="b">
        <v>0</v>
      </c>
      <c r="K1074" s="114" t="b">
        <v>0</v>
      </c>
      <c r="L1074" s="114" t="b">
        <v>0</v>
      </c>
    </row>
    <row r="1075" spans="1:12" ht="15">
      <c r="A1075" s="114" t="s">
        <v>1846</v>
      </c>
      <c r="B1075" s="114" t="s">
        <v>1740</v>
      </c>
      <c r="C1075" s="114">
        <v>2</v>
      </c>
      <c r="D1075" s="116">
        <v>0.0021857488339028985</v>
      </c>
      <c r="E1075" s="116">
        <v>0.7945641939718701</v>
      </c>
      <c r="F1075" s="114" t="s">
        <v>1707</v>
      </c>
      <c r="G1075" s="114" t="b">
        <v>0</v>
      </c>
      <c r="H1075" s="114" t="b">
        <v>0</v>
      </c>
      <c r="I1075" s="114" t="b">
        <v>0</v>
      </c>
      <c r="J1075" s="114" t="b">
        <v>0</v>
      </c>
      <c r="K1075" s="114" t="b">
        <v>0</v>
      </c>
      <c r="L1075" s="114" t="b">
        <v>0</v>
      </c>
    </row>
    <row r="1076" spans="1:12" ht="15">
      <c r="A1076" s="114" t="s">
        <v>1741</v>
      </c>
      <c r="B1076" s="114" t="s">
        <v>1743</v>
      </c>
      <c r="C1076" s="114">
        <v>70</v>
      </c>
      <c r="D1076" s="116">
        <v>0.008971170403127865</v>
      </c>
      <c r="E1076" s="116">
        <v>1.1607163974887271</v>
      </c>
      <c r="F1076" s="114" t="s">
        <v>1708</v>
      </c>
      <c r="G1076" s="114" t="b">
        <v>0</v>
      </c>
      <c r="H1076" s="114" t="b">
        <v>0</v>
      </c>
      <c r="I1076" s="114" t="b">
        <v>0</v>
      </c>
      <c r="J1076" s="114" t="b">
        <v>0</v>
      </c>
      <c r="K1076" s="114" t="b">
        <v>0</v>
      </c>
      <c r="L1076" s="114" t="b">
        <v>0</v>
      </c>
    </row>
    <row r="1077" spans="1:12" ht="15">
      <c r="A1077" s="114" t="s">
        <v>1739</v>
      </c>
      <c r="B1077" s="114" t="s">
        <v>1742</v>
      </c>
      <c r="C1077" s="114">
        <v>23</v>
      </c>
      <c r="D1077" s="116">
        <v>0.011198803465827684</v>
      </c>
      <c r="E1077" s="116">
        <v>0.4903337372054379</v>
      </c>
      <c r="F1077" s="114" t="s">
        <v>1708</v>
      </c>
      <c r="G1077" s="114" t="b">
        <v>0</v>
      </c>
      <c r="H1077" s="114" t="b">
        <v>0</v>
      </c>
      <c r="I1077" s="114" t="b">
        <v>0</v>
      </c>
      <c r="J1077" s="114" t="b">
        <v>0</v>
      </c>
      <c r="K1077" s="114" t="b">
        <v>0</v>
      </c>
      <c r="L1077" s="114" t="b">
        <v>0</v>
      </c>
    </row>
    <row r="1078" spans="1:12" ht="15">
      <c r="A1078" s="114" t="s">
        <v>1742</v>
      </c>
      <c r="B1078" s="114" t="s">
        <v>1739</v>
      </c>
      <c r="C1078" s="114">
        <v>18</v>
      </c>
      <c r="D1078" s="116">
        <v>0.008764280973256449</v>
      </c>
      <c r="E1078" s="116">
        <v>0.4183556358711401</v>
      </c>
      <c r="F1078" s="114" t="s">
        <v>1708</v>
      </c>
      <c r="G1078" s="114" t="b">
        <v>0</v>
      </c>
      <c r="H1078" s="114" t="b">
        <v>0</v>
      </c>
      <c r="I1078" s="114" t="b">
        <v>0</v>
      </c>
      <c r="J1078" s="114" t="b">
        <v>0</v>
      </c>
      <c r="K1078" s="114" t="b">
        <v>0</v>
      </c>
      <c r="L1078" s="114" t="b">
        <v>0</v>
      </c>
    </row>
    <row r="1079" spans="1:12" ht="15">
      <c r="A1079" s="114" t="s">
        <v>1739</v>
      </c>
      <c r="B1079" s="114" t="s">
        <v>1741</v>
      </c>
      <c r="C1079" s="114">
        <v>15</v>
      </c>
      <c r="D1079" s="116">
        <v>0.0052087473222670565</v>
      </c>
      <c r="E1079" s="116">
        <v>0.25727251031538806</v>
      </c>
      <c r="F1079" s="114" t="s">
        <v>1708</v>
      </c>
      <c r="G1079" s="114" t="b">
        <v>0</v>
      </c>
      <c r="H1079" s="114" t="b">
        <v>0</v>
      </c>
      <c r="I1079" s="114" t="b">
        <v>0</v>
      </c>
      <c r="J1079" s="114" t="b">
        <v>0</v>
      </c>
      <c r="K1079" s="114" t="b">
        <v>0</v>
      </c>
      <c r="L1079" s="114" t="b">
        <v>0</v>
      </c>
    </row>
    <row r="1080" spans="1:12" ht="15">
      <c r="A1080" s="114" t="s">
        <v>1742</v>
      </c>
      <c r="B1080" s="114" t="s">
        <v>1741</v>
      </c>
      <c r="C1080" s="114">
        <v>14</v>
      </c>
      <c r="D1080" s="116">
        <v>0.007337867720293593</v>
      </c>
      <c r="E1080" s="116">
        <v>0.4560517445022017</v>
      </c>
      <c r="F1080" s="114" t="s">
        <v>1708</v>
      </c>
      <c r="G1080" s="114" t="b">
        <v>0</v>
      </c>
      <c r="H1080" s="114" t="b">
        <v>0</v>
      </c>
      <c r="I1080" s="114" t="b">
        <v>0</v>
      </c>
      <c r="J1080" s="114" t="b">
        <v>0</v>
      </c>
      <c r="K1080" s="114" t="b">
        <v>0</v>
      </c>
      <c r="L1080" s="114" t="b">
        <v>0</v>
      </c>
    </row>
    <row r="1081" spans="1:12" ht="15">
      <c r="A1081" s="114" t="s">
        <v>1740</v>
      </c>
      <c r="B1081" s="114" t="s">
        <v>1740</v>
      </c>
      <c r="C1081" s="114">
        <v>12</v>
      </c>
      <c r="D1081" s="116">
        <v>0.00807230817521294</v>
      </c>
      <c r="E1081" s="116">
        <v>0.5259872894073965</v>
      </c>
      <c r="F1081" s="114" t="s">
        <v>1708</v>
      </c>
      <c r="G1081" s="114" t="b">
        <v>0</v>
      </c>
      <c r="H1081" s="114" t="b">
        <v>0</v>
      </c>
      <c r="I1081" s="114" t="b">
        <v>0</v>
      </c>
      <c r="J1081" s="114" t="b">
        <v>0</v>
      </c>
      <c r="K1081" s="114" t="b">
        <v>0</v>
      </c>
      <c r="L1081" s="114" t="b">
        <v>0</v>
      </c>
    </row>
    <row r="1082" spans="1:12" ht="15">
      <c r="A1082" s="114" t="s">
        <v>1744</v>
      </c>
      <c r="B1082" s="114" t="s">
        <v>1746</v>
      </c>
      <c r="C1082" s="114">
        <v>10</v>
      </c>
      <c r="D1082" s="116">
        <v>0.005241334085923995</v>
      </c>
      <c r="E1082" s="116">
        <v>1.3115908681914266</v>
      </c>
      <c r="F1082" s="114" t="s">
        <v>1708</v>
      </c>
      <c r="G1082" s="114" t="b">
        <v>0</v>
      </c>
      <c r="H1082" s="114" t="b">
        <v>0</v>
      </c>
      <c r="I1082" s="114" t="b">
        <v>0</v>
      </c>
      <c r="J1082" s="114" t="b">
        <v>0</v>
      </c>
      <c r="K1082" s="114" t="b">
        <v>1</v>
      </c>
      <c r="L1082" s="114" t="b">
        <v>0</v>
      </c>
    </row>
    <row r="1083" spans="1:12" ht="15">
      <c r="A1083" s="114" t="s">
        <v>1740</v>
      </c>
      <c r="B1083" s="114" t="s">
        <v>1739</v>
      </c>
      <c r="C1083" s="114">
        <v>9</v>
      </c>
      <c r="D1083" s="116">
        <v>0.0050970605920326</v>
      </c>
      <c r="E1083" s="116">
        <v>0.15353781286160365</v>
      </c>
      <c r="F1083" s="114" t="s">
        <v>1708</v>
      </c>
      <c r="G1083" s="114" t="b">
        <v>0</v>
      </c>
      <c r="H1083" s="114" t="b">
        <v>0</v>
      </c>
      <c r="I1083" s="114" t="b">
        <v>0</v>
      </c>
      <c r="J1083" s="114" t="b">
        <v>0</v>
      </c>
      <c r="K1083" s="114" t="b">
        <v>0</v>
      </c>
      <c r="L1083" s="114" t="b">
        <v>0</v>
      </c>
    </row>
    <row r="1084" spans="1:12" ht="15">
      <c r="A1084" s="114" t="s">
        <v>1743</v>
      </c>
      <c r="B1084" s="114" t="s">
        <v>1742</v>
      </c>
      <c r="C1084" s="114">
        <v>9</v>
      </c>
      <c r="D1084" s="116">
        <v>0.0055355766813160925</v>
      </c>
      <c r="E1084" s="116">
        <v>0.3478030408458715</v>
      </c>
      <c r="F1084" s="114" t="s">
        <v>1708</v>
      </c>
      <c r="G1084" s="114" t="b">
        <v>0</v>
      </c>
      <c r="H1084" s="114" t="b">
        <v>0</v>
      </c>
      <c r="I1084" s="114" t="b">
        <v>0</v>
      </c>
      <c r="J1084" s="114" t="b">
        <v>0</v>
      </c>
      <c r="K1084" s="114" t="b">
        <v>0</v>
      </c>
      <c r="L1084" s="114" t="b">
        <v>0</v>
      </c>
    </row>
    <row r="1085" spans="1:12" ht="15">
      <c r="A1085" s="114" t="s">
        <v>1828</v>
      </c>
      <c r="B1085" s="114" t="s">
        <v>1901</v>
      </c>
      <c r="C1085" s="114">
        <v>9</v>
      </c>
      <c r="D1085" s="116">
        <v>0.006689012876003961</v>
      </c>
      <c r="E1085" s="116">
        <v>2.0453229787866576</v>
      </c>
      <c r="F1085" s="114" t="s">
        <v>1708</v>
      </c>
      <c r="G1085" s="114" t="b">
        <v>0</v>
      </c>
      <c r="H1085" s="114" t="b">
        <v>0</v>
      </c>
      <c r="I1085" s="114" t="b">
        <v>0</v>
      </c>
      <c r="J1085" s="114" t="b">
        <v>0</v>
      </c>
      <c r="K1085" s="114" t="b">
        <v>0</v>
      </c>
      <c r="L1085" s="114" t="b">
        <v>0</v>
      </c>
    </row>
    <row r="1086" spans="1:12" ht="15">
      <c r="A1086" s="114" t="s">
        <v>1743</v>
      </c>
      <c r="B1086" s="114" t="s">
        <v>1741</v>
      </c>
      <c r="C1086" s="114">
        <v>8</v>
      </c>
      <c r="D1086" s="116">
        <v>0.0049205126056143045</v>
      </c>
      <c r="E1086" s="116">
        <v>0.24922586847035205</v>
      </c>
      <c r="F1086" s="114" t="s">
        <v>1708</v>
      </c>
      <c r="G1086" s="114" t="b">
        <v>0</v>
      </c>
      <c r="H1086" s="114" t="b">
        <v>0</v>
      </c>
      <c r="I1086" s="114" t="b">
        <v>0</v>
      </c>
      <c r="J1086" s="114" t="b">
        <v>0</v>
      </c>
      <c r="K1086" s="114" t="b">
        <v>0</v>
      </c>
      <c r="L1086" s="114" t="b">
        <v>0</v>
      </c>
    </row>
    <row r="1087" spans="1:12" ht="15">
      <c r="A1087" s="114" t="s">
        <v>1758</v>
      </c>
      <c r="B1087" s="114" t="s">
        <v>1828</v>
      </c>
      <c r="C1087" s="114">
        <v>8</v>
      </c>
      <c r="D1087" s="116">
        <v>0.005945789223114633</v>
      </c>
      <c r="E1087" s="116">
        <v>1.7997075072125523</v>
      </c>
      <c r="F1087" s="114" t="s">
        <v>1708</v>
      </c>
      <c r="G1087" s="114" t="b">
        <v>0</v>
      </c>
      <c r="H1087" s="114" t="b">
        <v>0</v>
      </c>
      <c r="I1087" s="114" t="b">
        <v>0</v>
      </c>
      <c r="J1087" s="114" t="b">
        <v>0</v>
      </c>
      <c r="K1087" s="114" t="b">
        <v>0</v>
      </c>
      <c r="L1087" s="114" t="b">
        <v>0</v>
      </c>
    </row>
    <row r="1088" spans="1:12" ht="15">
      <c r="A1088" s="114" t="s">
        <v>1743</v>
      </c>
      <c r="B1088" s="114" t="s">
        <v>1739</v>
      </c>
      <c r="C1088" s="114">
        <v>7</v>
      </c>
      <c r="D1088" s="116">
        <v>0.0039643804604698</v>
      </c>
      <c r="E1088" s="116">
        <v>0.04439334343653564</v>
      </c>
      <c r="F1088" s="114" t="s">
        <v>1708</v>
      </c>
      <c r="G1088" s="114" t="b">
        <v>0</v>
      </c>
      <c r="H1088" s="114" t="b">
        <v>0</v>
      </c>
      <c r="I1088" s="114" t="b">
        <v>0</v>
      </c>
      <c r="J1088" s="114" t="b">
        <v>0</v>
      </c>
      <c r="K1088" s="114" t="b">
        <v>0</v>
      </c>
      <c r="L1088" s="114" t="b">
        <v>0</v>
      </c>
    </row>
    <row r="1089" spans="1:12" ht="15">
      <c r="A1089" s="114" t="s">
        <v>1739</v>
      </c>
      <c r="B1089" s="114" t="s">
        <v>1739</v>
      </c>
      <c r="C1089" s="114">
        <v>7</v>
      </c>
      <c r="D1089" s="116">
        <v>0.0039643804604698</v>
      </c>
      <c r="E1089" s="116">
        <v>-0.22056128678216597</v>
      </c>
      <c r="F1089" s="114" t="s">
        <v>1708</v>
      </c>
      <c r="G1089" s="114" t="b">
        <v>0</v>
      </c>
      <c r="H1089" s="114" t="b">
        <v>0</v>
      </c>
      <c r="I1089" s="114" t="b">
        <v>0</v>
      </c>
      <c r="J1089" s="114" t="b">
        <v>0</v>
      </c>
      <c r="K1089" s="114" t="b">
        <v>0</v>
      </c>
      <c r="L1089" s="114" t="b">
        <v>0</v>
      </c>
    </row>
    <row r="1090" spans="1:12" ht="15">
      <c r="A1090" s="114" t="s">
        <v>1742</v>
      </c>
      <c r="B1090" s="114" t="s">
        <v>1742</v>
      </c>
      <c r="C1090" s="114">
        <v>7</v>
      </c>
      <c r="D1090" s="116">
        <v>0.005839080239991023</v>
      </c>
      <c r="E1090" s="116">
        <v>0.20244639876635873</v>
      </c>
      <c r="F1090" s="114" t="s">
        <v>1708</v>
      </c>
      <c r="G1090" s="114" t="b">
        <v>0</v>
      </c>
      <c r="H1090" s="114" t="b">
        <v>0</v>
      </c>
      <c r="I1090" s="114" t="b">
        <v>0</v>
      </c>
      <c r="J1090" s="114" t="b">
        <v>0</v>
      </c>
      <c r="K1090" s="114" t="b">
        <v>0</v>
      </c>
      <c r="L1090" s="114" t="b">
        <v>0</v>
      </c>
    </row>
    <row r="1091" spans="1:12" ht="15">
      <c r="A1091" s="114" t="s">
        <v>1746</v>
      </c>
      <c r="B1091" s="114" t="s">
        <v>1739</v>
      </c>
      <c r="C1091" s="114">
        <v>7</v>
      </c>
      <c r="D1091" s="116">
        <v>0.0039643804604698</v>
      </c>
      <c r="E1091" s="116">
        <v>0.4853024255017533</v>
      </c>
      <c r="F1091" s="114" t="s">
        <v>1708</v>
      </c>
      <c r="G1091" s="114" t="b">
        <v>0</v>
      </c>
      <c r="H1091" s="114" t="b">
        <v>1</v>
      </c>
      <c r="I1091" s="114" t="b">
        <v>0</v>
      </c>
      <c r="J1091" s="114" t="b">
        <v>0</v>
      </c>
      <c r="K1091" s="114" t="b">
        <v>0</v>
      </c>
      <c r="L1091" s="114" t="b">
        <v>0</v>
      </c>
    </row>
    <row r="1092" spans="1:12" ht="15">
      <c r="A1092" s="114" t="s">
        <v>1739</v>
      </c>
      <c r="B1092" s="114" t="s">
        <v>1750</v>
      </c>
      <c r="C1092" s="114">
        <v>7</v>
      </c>
      <c r="D1092" s="116">
        <v>0.0039643804604698</v>
      </c>
      <c r="E1092" s="116">
        <v>0.689707284836901</v>
      </c>
      <c r="F1092" s="114" t="s">
        <v>1708</v>
      </c>
      <c r="G1092" s="114" t="b">
        <v>0</v>
      </c>
      <c r="H1092" s="114" t="b">
        <v>0</v>
      </c>
      <c r="I1092" s="114" t="b">
        <v>0</v>
      </c>
      <c r="J1092" s="114" t="b">
        <v>0</v>
      </c>
      <c r="K1092" s="114" t="b">
        <v>0</v>
      </c>
      <c r="L1092" s="114" t="b">
        <v>0</v>
      </c>
    </row>
    <row r="1093" spans="1:12" ht="15">
      <c r="A1093" s="114" t="s">
        <v>1739</v>
      </c>
      <c r="B1093" s="114" t="s">
        <v>1740</v>
      </c>
      <c r="C1093" s="114">
        <v>6</v>
      </c>
      <c r="D1093" s="116">
        <v>0.00403615408760647</v>
      </c>
      <c r="E1093" s="116">
        <v>-0.03999733647528629</v>
      </c>
      <c r="F1093" s="114" t="s">
        <v>1708</v>
      </c>
      <c r="G1093" s="114" t="b">
        <v>0</v>
      </c>
      <c r="H1093" s="114" t="b">
        <v>0</v>
      </c>
      <c r="I1093" s="114" t="b">
        <v>0</v>
      </c>
      <c r="J1093" s="114" t="b">
        <v>0</v>
      </c>
      <c r="K1093" s="114" t="b">
        <v>0</v>
      </c>
      <c r="L1093" s="114" t="b">
        <v>0</v>
      </c>
    </row>
    <row r="1094" spans="1:12" ht="15">
      <c r="A1094" s="114" t="s">
        <v>1741</v>
      </c>
      <c r="B1094" s="114" t="s">
        <v>1742</v>
      </c>
      <c r="C1094" s="114">
        <v>6</v>
      </c>
      <c r="D1094" s="116">
        <v>0.00403615408760647</v>
      </c>
      <c r="E1094" s="116">
        <v>0.04677304518189028</v>
      </c>
      <c r="F1094" s="114" t="s">
        <v>1708</v>
      </c>
      <c r="G1094" s="114" t="b">
        <v>0</v>
      </c>
      <c r="H1094" s="114" t="b">
        <v>0</v>
      </c>
      <c r="I1094" s="114" t="b">
        <v>0</v>
      </c>
      <c r="J1094" s="114" t="b">
        <v>0</v>
      </c>
      <c r="K1094" s="114" t="b">
        <v>0</v>
      </c>
      <c r="L1094" s="114" t="b">
        <v>0</v>
      </c>
    </row>
    <row r="1095" spans="1:12" ht="15">
      <c r="A1095" s="114" t="s">
        <v>1759</v>
      </c>
      <c r="B1095" s="114" t="s">
        <v>1740</v>
      </c>
      <c r="C1095" s="114">
        <v>6</v>
      </c>
      <c r="D1095" s="116">
        <v>0.007088424848899128</v>
      </c>
      <c r="E1095" s="116">
        <v>1.2187083444664137</v>
      </c>
      <c r="F1095" s="114" t="s">
        <v>1708</v>
      </c>
      <c r="G1095" s="114" t="b">
        <v>0</v>
      </c>
      <c r="H1095" s="114" t="b">
        <v>0</v>
      </c>
      <c r="I1095" s="114" t="b">
        <v>0</v>
      </c>
      <c r="J1095" s="114" t="b">
        <v>0</v>
      </c>
      <c r="K1095" s="114" t="b">
        <v>0</v>
      </c>
      <c r="L1095" s="114" t="b">
        <v>0</v>
      </c>
    </row>
    <row r="1096" spans="1:12" ht="15">
      <c r="A1096" s="114" t="s">
        <v>1783</v>
      </c>
      <c r="B1096" s="114" t="s">
        <v>1741</v>
      </c>
      <c r="C1096" s="114">
        <v>6</v>
      </c>
      <c r="D1096" s="116">
        <v>0.005773883383117551</v>
      </c>
      <c r="E1096" s="116">
        <v>0.8491928702924706</v>
      </c>
      <c r="F1096" s="114" t="s">
        <v>1708</v>
      </c>
      <c r="G1096" s="114" t="b">
        <v>0</v>
      </c>
      <c r="H1096" s="114" t="b">
        <v>0</v>
      </c>
      <c r="I1096" s="114" t="b">
        <v>0</v>
      </c>
      <c r="J1096" s="114" t="b">
        <v>0</v>
      </c>
      <c r="K1096" s="114" t="b">
        <v>0</v>
      </c>
      <c r="L1096" s="114" t="b">
        <v>0</v>
      </c>
    </row>
    <row r="1097" spans="1:12" ht="15">
      <c r="A1097" s="114" t="s">
        <v>1766</v>
      </c>
      <c r="B1097" s="114" t="s">
        <v>1740</v>
      </c>
      <c r="C1097" s="114">
        <v>5</v>
      </c>
      <c r="D1097" s="116">
        <v>0.0033634617396720587</v>
      </c>
      <c r="E1097" s="116">
        <v>1.285655134097027</v>
      </c>
      <c r="F1097" s="114" t="s">
        <v>1708</v>
      </c>
      <c r="G1097" s="114" t="b">
        <v>0</v>
      </c>
      <c r="H1097" s="114" t="b">
        <v>1</v>
      </c>
      <c r="I1097" s="114" t="b">
        <v>0</v>
      </c>
      <c r="J1097" s="114" t="b">
        <v>0</v>
      </c>
      <c r="K1097" s="114" t="b">
        <v>0</v>
      </c>
      <c r="L1097" s="114" t="b">
        <v>0</v>
      </c>
    </row>
    <row r="1098" spans="1:12" ht="15">
      <c r="A1098" s="114" t="s">
        <v>1740</v>
      </c>
      <c r="B1098" s="114" t="s">
        <v>1792</v>
      </c>
      <c r="C1098" s="114">
        <v>5</v>
      </c>
      <c r="D1098" s="116">
        <v>0.004170771599993588</v>
      </c>
      <c r="E1098" s="116">
        <v>1.2064738880494021</v>
      </c>
      <c r="F1098" s="114" t="s">
        <v>1708</v>
      </c>
      <c r="G1098" s="114" t="b">
        <v>0</v>
      </c>
      <c r="H1098" s="114" t="b">
        <v>0</v>
      </c>
      <c r="I1098" s="114" t="b">
        <v>0</v>
      </c>
      <c r="J1098" s="114" t="b">
        <v>0</v>
      </c>
      <c r="K1098" s="114" t="b">
        <v>0</v>
      </c>
      <c r="L1098" s="114" t="b">
        <v>0</v>
      </c>
    </row>
    <row r="1099" spans="1:12" ht="15">
      <c r="A1099" s="114" t="s">
        <v>1757</v>
      </c>
      <c r="B1099" s="114" t="s">
        <v>1791</v>
      </c>
      <c r="C1099" s="114">
        <v>5</v>
      </c>
      <c r="D1099" s="116">
        <v>0.004170771599993588</v>
      </c>
      <c r="E1099" s="116">
        <v>2.2794061848200253</v>
      </c>
      <c r="F1099" s="114" t="s">
        <v>1708</v>
      </c>
      <c r="G1099" s="114" t="b">
        <v>0</v>
      </c>
      <c r="H1099" s="114" t="b">
        <v>0</v>
      </c>
      <c r="I1099" s="114" t="b">
        <v>0</v>
      </c>
      <c r="J1099" s="114" t="b">
        <v>0</v>
      </c>
      <c r="K1099" s="114" t="b">
        <v>0</v>
      </c>
      <c r="L1099" s="114" t="b">
        <v>0</v>
      </c>
    </row>
    <row r="1100" spans="1:12" ht="15">
      <c r="A1100" s="114" t="s">
        <v>1791</v>
      </c>
      <c r="B1100" s="114" t="s">
        <v>1740</v>
      </c>
      <c r="C1100" s="114">
        <v>5</v>
      </c>
      <c r="D1100" s="116">
        <v>0.004170771599993588</v>
      </c>
      <c r="E1100" s="116">
        <v>1.285655134097027</v>
      </c>
      <c r="F1100" s="114" t="s">
        <v>1708</v>
      </c>
      <c r="G1100" s="114" t="b">
        <v>0</v>
      </c>
      <c r="H1100" s="114" t="b">
        <v>0</v>
      </c>
      <c r="I1100" s="114" t="b">
        <v>0</v>
      </c>
      <c r="J1100" s="114" t="b">
        <v>0</v>
      </c>
      <c r="K1100" s="114" t="b">
        <v>0</v>
      </c>
      <c r="L1100" s="114" t="b">
        <v>0</v>
      </c>
    </row>
    <row r="1101" spans="1:12" ht="15">
      <c r="A1101" s="114" t="s">
        <v>1744</v>
      </c>
      <c r="B1101" s="114" t="s">
        <v>1742</v>
      </c>
      <c r="C1101" s="114">
        <v>5</v>
      </c>
      <c r="D1101" s="116">
        <v>0.004170771599993588</v>
      </c>
      <c r="E1101" s="116">
        <v>0.533439617807783</v>
      </c>
      <c r="F1101" s="114" t="s">
        <v>1708</v>
      </c>
      <c r="G1101" s="114" t="b">
        <v>0</v>
      </c>
      <c r="H1101" s="114" t="b">
        <v>0</v>
      </c>
      <c r="I1101" s="114" t="b">
        <v>0</v>
      </c>
      <c r="J1101" s="114" t="b">
        <v>0</v>
      </c>
      <c r="K1101" s="114" t="b">
        <v>0</v>
      </c>
      <c r="L1101" s="114" t="b">
        <v>0</v>
      </c>
    </row>
    <row r="1102" spans="1:12" ht="15">
      <c r="A1102" s="114" t="s">
        <v>1739</v>
      </c>
      <c r="B1102" s="114" t="s">
        <v>1748</v>
      </c>
      <c r="C1102" s="114">
        <v>5</v>
      </c>
      <c r="D1102" s="116">
        <v>0.0033634617396720587</v>
      </c>
      <c r="E1102" s="116">
        <v>0.39745121348042495</v>
      </c>
      <c r="F1102" s="114" t="s">
        <v>1708</v>
      </c>
      <c r="G1102" s="114" t="b">
        <v>0</v>
      </c>
      <c r="H1102" s="114" t="b">
        <v>0</v>
      </c>
      <c r="I1102" s="114" t="b">
        <v>0</v>
      </c>
      <c r="J1102" s="114" t="b">
        <v>0</v>
      </c>
      <c r="K1102" s="114" t="b">
        <v>0</v>
      </c>
      <c r="L1102" s="114" t="b">
        <v>0</v>
      </c>
    </row>
    <row r="1103" spans="1:12" ht="15">
      <c r="A1103" s="114" t="s">
        <v>1748</v>
      </c>
      <c r="B1103" s="114" t="s">
        <v>1739</v>
      </c>
      <c r="C1103" s="114">
        <v>5</v>
      </c>
      <c r="D1103" s="116">
        <v>0.004170771599993588</v>
      </c>
      <c r="E1103" s="116">
        <v>0.4360844028315716</v>
      </c>
      <c r="F1103" s="114" t="s">
        <v>1708</v>
      </c>
      <c r="G1103" s="114" t="b">
        <v>0</v>
      </c>
      <c r="H1103" s="114" t="b">
        <v>0</v>
      </c>
      <c r="I1103" s="114" t="b">
        <v>0</v>
      </c>
      <c r="J1103" s="114" t="b">
        <v>0</v>
      </c>
      <c r="K1103" s="114" t="b">
        <v>0</v>
      </c>
      <c r="L1103" s="114" t="b">
        <v>0</v>
      </c>
    </row>
    <row r="1104" spans="1:12" ht="15">
      <c r="A1104" s="114" t="s">
        <v>1743</v>
      </c>
      <c r="B1104" s="114" t="s">
        <v>1748</v>
      </c>
      <c r="C1104" s="114">
        <v>5</v>
      </c>
      <c r="D1104" s="116">
        <v>0.0033634617396720587</v>
      </c>
      <c r="E1104" s="116">
        <v>0.6624058436991265</v>
      </c>
      <c r="F1104" s="114" t="s">
        <v>1708</v>
      </c>
      <c r="G1104" s="114" t="b">
        <v>0</v>
      </c>
      <c r="H1104" s="114" t="b">
        <v>0</v>
      </c>
      <c r="I1104" s="114" t="b">
        <v>0</v>
      </c>
      <c r="J1104" s="114" t="b">
        <v>0</v>
      </c>
      <c r="K1104" s="114" t="b">
        <v>0</v>
      </c>
      <c r="L1104" s="114" t="b">
        <v>0</v>
      </c>
    </row>
    <row r="1105" spans="1:12" ht="15">
      <c r="A1105" s="114" t="s">
        <v>1742</v>
      </c>
      <c r="B1105" s="114" t="s">
        <v>1750</v>
      </c>
      <c r="C1105" s="114">
        <v>5</v>
      </c>
      <c r="D1105" s="116">
        <v>0.0048115694859312925</v>
      </c>
      <c r="E1105" s="116">
        <v>0.7723217067229198</v>
      </c>
      <c r="F1105" s="114" t="s">
        <v>1708</v>
      </c>
      <c r="G1105" s="114" t="b">
        <v>0</v>
      </c>
      <c r="H1105" s="114" t="b">
        <v>0</v>
      </c>
      <c r="I1105" s="114" t="b">
        <v>0</v>
      </c>
      <c r="J1105" s="114" t="b">
        <v>0</v>
      </c>
      <c r="K1105" s="114" t="b">
        <v>0</v>
      </c>
      <c r="L1105" s="114" t="b">
        <v>0</v>
      </c>
    </row>
    <row r="1106" spans="1:12" ht="15">
      <c r="A1106" s="114" t="s">
        <v>1760</v>
      </c>
      <c r="B1106" s="114" t="s">
        <v>1760</v>
      </c>
      <c r="C1106" s="114">
        <v>4</v>
      </c>
      <c r="D1106" s="116">
        <v>0.0033366172799948707</v>
      </c>
      <c r="E1106" s="116">
        <v>1.1033149257643442</v>
      </c>
      <c r="F1106" s="114" t="s">
        <v>1708</v>
      </c>
      <c r="G1106" s="114" t="b">
        <v>0</v>
      </c>
      <c r="H1106" s="114" t="b">
        <v>0</v>
      </c>
      <c r="I1106" s="114" t="b">
        <v>0</v>
      </c>
      <c r="J1106" s="114" t="b">
        <v>0</v>
      </c>
      <c r="K1106" s="114" t="b">
        <v>0</v>
      </c>
      <c r="L1106" s="114" t="b">
        <v>0</v>
      </c>
    </row>
    <row r="1107" spans="1:12" ht="15">
      <c r="A1107" s="114" t="s">
        <v>1739</v>
      </c>
      <c r="B1107" s="114" t="s">
        <v>1910</v>
      </c>
      <c r="C1107" s="114">
        <v>4</v>
      </c>
      <c r="D1107" s="116">
        <v>0.0029728946115573163</v>
      </c>
      <c r="E1107" s="116">
        <v>0.7776624551920309</v>
      </c>
      <c r="F1107" s="114" t="s">
        <v>1708</v>
      </c>
      <c r="G1107" s="114" t="b">
        <v>0</v>
      </c>
      <c r="H1107" s="114" t="b">
        <v>0</v>
      </c>
      <c r="I1107" s="114" t="b">
        <v>0</v>
      </c>
      <c r="J1107" s="114" t="b">
        <v>1</v>
      </c>
      <c r="K1107" s="114" t="b">
        <v>0</v>
      </c>
      <c r="L1107" s="114" t="b">
        <v>0</v>
      </c>
    </row>
    <row r="1108" spans="1:12" ht="15">
      <c r="A1108" s="114" t="s">
        <v>1959</v>
      </c>
      <c r="B1108" s="114" t="s">
        <v>1740</v>
      </c>
      <c r="C1108" s="114">
        <v>4</v>
      </c>
      <c r="D1108" s="116">
        <v>0.0033366172799948707</v>
      </c>
      <c r="E1108" s="116">
        <v>1.1095638750413457</v>
      </c>
      <c r="F1108" s="114" t="s">
        <v>1708</v>
      </c>
      <c r="G1108" s="114" t="b">
        <v>0</v>
      </c>
      <c r="H1108" s="114" t="b">
        <v>0</v>
      </c>
      <c r="I1108" s="114" t="b">
        <v>0</v>
      </c>
      <c r="J1108" s="114" t="b">
        <v>0</v>
      </c>
      <c r="K1108" s="114" t="b">
        <v>0</v>
      </c>
      <c r="L1108" s="114" t="b">
        <v>0</v>
      </c>
    </row>
    <row r="1109" spans="1:12" ht="15">
      <c r="A1109" s="114" t="s">
        <v>1742</v>
      </c>
      <c r="B1109" s="114" t="s">
        <v>1744</v>
      </c>
      <c r="C1109" s="114">
        <v>4</v>
      </c>
      <c r="D1109" s="116">
        <v>0.0033366172799948707</v>
      </c>
      <c r="E1109" s="116">
        <v>0.4897751167529517</v>
      </c>
      <c r="F1109" s="114" t="s">
        <v>1708</v>
      </c>
      <c r="G1109" s="114" t="b">
        <v>0</v>
      </c>
      <c r="H1109" s="114" t="b">
        <v>0</v>
      </c>
      <c r="I1109" s="114" t="b">
        <v>0</v>
      </c>
      <c r="J1109" s="114" t="b">
        <v>0</v>
      </c>
      <c r="K1109" s="114" t="b">
        <v>0</v>
      </c>
      <c r="L1109" s="114" t="b">
        <v>0</v>
      </c>
    </row>
    <row r="1110" spans="1:12" ht="15">
      <c r="A1110" s="114" t="s">
        <v>1740</v>
      </c>
      <c r="B1110" s="114" t="s">
        <v>1770</v>
      </c>
      <c r="C1110" s="114">
        <v>4</v>
      </c>
      <c r="D1110" s="116">
        <v>0.0038492555887450347</v>
      </c>
      <c r="E1110" s="116">
        <v>0.8877151254249893</v>
      </c>
      <c r="F1110" s="114" t="s">
        <v>1708</v>
      </c>
      <c r="G1110" s="114" t="b">
        <v>0</v>
      </c>
      <c r="H1110" s="114" t="b">
        <v>0</v>
      </c>
      <c r="I1110" s="114" t="b">
        <v>0</v>
      </c>
      <c r="J1110" s="114" t="b">
        <v>0</v>
      </c>
      <c r="K1110" s="114" t="b">
        <v>0</v>
      </c>
      <c r="L1110" s="114" t="b">
        <v>0</v>
      </c>
    </row>
    <row r="1111" spans="1:12" ht="15">
      <c r="A1111" s="114" t="s">
        <v>1743</v>
      </c>
      <c r="B1111" s="114" t="s">
        <v>1744</v>
      </c>
      <c r="C1111" s="114">
        <v>4</v>
      </c>
      <c r="D1111" s="116">
        <v>0.0029728946115573163</v>
      </c>
      <c r="E1111" s="116">
        <v>0.5259872894073965</v>
      </c>
      <c r="F1111" s="114" t="s">
        <v>1708</v>
      </c>
      <c r="G1111" s="114" t="b">
        <v>0</v>
      </c>
      <c r="H1111" s="114" t="b">
        <v>0</v>
      </c>
      <c r="I1111" s="114" t="b">
        <v>0</v>
      </c>
      <c r="J1111" s="114" t="b">
        <v>0</v>
      </c>
      <c r="K1111" s="114" t="b">
        <v>0</v>
      </c>
      <c r="L1111" s="114" t="b">
        <v>0</v>
      </c>
    </row>
    <row r="1112" spans="1:12" ht="15">
      <c r="A1112" s="114" t="s">
        <v>1739</v>
      </c>
      <c r="B1112" s="114" t="s">
        <v>1771</v>
      </c>
      <c r="C1112" s="114">
        <v>4</v>
      </c>
      <c r="D1112" s="116">
        <v>0.0033366172799948707</v>
      </c>
      <c r="E1112" s="116">
        <v>0.923790490870269</v>
      </c>
      <c r="F1112" s="114" t="s">
        <v>1708</v>
      </c>
      <c r="G1112" s="114" t="b">
        <v>0</v>
      </c>
      <c r="H1112" s="114" t="b">
        <v>0</v>
      </c>
      <c r="I1112" s="114" t="b">
        <v>0</v>
      </c>
      <c r="J1112" s="114" t="b">
        <v>0</v>
      </c>
      <c r="K1112" s="114" t="b">
        <v>1</v>
      </c>
      <c r="L1112" s="114" t="b">
        <v>0</v>
      </c>
    </row>
    <row r="1113" spans="1:12" ht="15">
      <c r="A1113" s="114" t="s">
        <v>1753</v>
      </c>
      <c r="B1113" s="114" t="s">
        <v>1856</v>
      </c>
      <c r="C1113" s="114">
        <v>4</v>
      </c>
      <c r="D1113" s="116">
        <v>0.0038492555887450347</v>
      </c>
      <c r="E1113" s="116">
        <v>1.8692317197309762</v>
      </c>
      <c r="F1113" s="114" t="s">
        <v>1708</v>
      </c>
      <c r="G1113" s="114" t="b">
        <v>0</v>
      </c>
      <c r="H1113" s="114" t="b">
        <v>0</v>
      </c>
      <c r="I1113" s="114" t="b">
        <v>0</v>
      </c>
      <c r="J1113" s="114" t="b">
        <v>0</v>
      </c>
      <c r="K1113" s="114" t="b">
        <v>0</v>
      </c>
      <c r="L1113" s="114" t="b">
        <v>0</v>
      </c>
    </row>
    <row r="1114" spans="1:12" ht="15">
      <c r="A1114" s="114" t="s">
        <v>1972</v>
      </c>
      <c r="B1114" s="114" t="s">
        <v>1946</v>
      </c>
      <c r="C1114" s="114">
        <v>4</v>
      </c>
      <c r="D1114" s="116">
        <v>0.0038492555887450347</v>
      </c>
      <c r="E1114" s="116">
        <v>2.5224442335063197</v>
      </c>
      <c r="F1114" s="114" t="s">
        <v>1708</v>
      </c>
      <c r="G1114" s="114" t="b">
        <v>0</v>
      </c>
      <c r="H1114" s="114" t="b">
        <v>0</v>
      </c>
      <c r="I1114" s="114" t="b">
        <v>0</v>
      </c>
      <c r="J1114" s="114" t="b">
        <v>0</v>
      </c>
      <c r="K1114" s="114" t="b">
        <v>0</v>
      </c>
      <c r="L1114" s="114" t="b">
        <v>0</v>
      </c>
    </row>
    <row r="1115" spans="1:12" ht="15">
      <c r="A1115" s="114" t="s">
        <v>1924</v>
      </c>
      <c r="B1115" s="114" t="s">
        <v>1752</v>
      </c>
      <c r="C1115" s="114">
        <v>4</v>
      </c>
      <c r="D1115" s="116">
        <v>0.004725616565932753</v>
      </c>
      <c r="E1115" s="116">
        <v>1.9783761891560443</v>
      </c>
      <c r="F1115" s="114" t="s">
        <v>1708</v>
      </c>
      <c r="G1115" s="114" t="b">
        <v>0</v>
      </c>
      <c r="H1115" s="114" t="b">
        <v>0</v>
      </c>
      <c r="I1115" s="114" t="b">
        <v>0</v>
      </c>
      <c r="J1115" s="114" t="b">
        <v>0</v>
      </c>
      <c r="K1115" s="114" t="b">
        <v>0</v>
      </c>
      <c r="L1115" s="114" t="b">
        <v>0</v>
      </c>
    </row>
    <row r="1116" spans="1:12" ht="15">
      <c r="A1116" s="114" t="s">
        <v>1752</v>
      </c>
      <c r="B1116" s="114" t="s">
        <v>1752</v>
      </c>
      <c r="C1116" s="114">
        <v>4</v>
      </c>
      <c r="D1116" s="116">
        <v>0.004725616565932753</v>
      </c>
      <c r="E1116" s="116">
        <v>1.4343081448057686</v>
      </c>
      <c r="F1116" s="114" t="s">
        <v>1708</v>
      </c>
      <c r="G1116" s="114" t="b">
        <v>0</v>
      </c>
      <c r="H1116" s="114" t="b">
        <v>0</v>
      </c>
      <c r="I1116" s="114" t="b">
        <v>0</v>
      </c>
      <c r="J1116" s="114" t="b">
        <v>0</v>
      </c>
      <c r="K1116" s="114" t="b">
        <v>0</v>
      </c>
      <c r="L1116" s="114" t="b">
        <v>0</v>
      </c>
    </row>
    <row r="1117" spans="1:12" ht="15">
      <c r="A1117" s="114" t="s">
        <v>1743</v>
      </c>
      <c r="B1117" s="114" t="s">
        <v>1783</v>
      </c>
      <c r="C1117" s="114">
        <v>4</v>
      </c>
      <c r="D1117" s="116">
        <v>0.0038492555887450347</v>
      </c>
      <c r="E1117" s="116">
        <v>0.8085338793773645</v>
      </c>
      <c r="F1117" s="114" t="s">
        <v>1708</v>
      </c>
      <c r="G1117" s="114" t="b">
        <v>0</v>
      </c>
      <c r="H1117" s="114" t="b">
        <v>0</v>
      </c>
      <c r="I1117" s="114" t="b">
        <v>0</v>
      </c>
      <c r="J1117" s="114" t="b">
        <v>0</v>
      </c>
      <c r="K1117" s="114" t="b">
        <v>0</v>
      </c>
      <c r="L1117" s="114" t="b">
        <v>0</v>
      </c>
    </row>
    <row r="1118" spans="1:12" ht="15">
      <c r="A1118" s="114" t="s">
        <v>2081</v>
      </c>
      <c r="B1118" s="114" t="s">
        <v>2082</v>
      </c>
      <c r="C1118" s="114">
        <v>4</v>
      </c>
      <c r="D1118" s="116">
        <v>0.004725616565932753</v>
      </c>
      <c r="E1118" s="116">
        <v>2.5224442335063197</v>
      </c>
      <c r="F1118" s="114" t="s">
        <v>1708</v>
      </c>
      <c r="G1118" s="114" t="b">
        <v>0</v>
      </c>
      <c r="H1118" s="114" t="b">
        <v>0</v>
      </c>
      <c r="I1118" s="114" t="b">
        <v>0</v>
      </c>
      <c r="J1118" s="114" t="b">
        <v>0</v>
      </c>
      <c r="K1118" s="114" t="b">
        <v>0</v>
      </c>
      <c r="L1118" s="114" t="b">
        <v>0</v>
      </c>
    </row>
    <row r="1119" spans="1:12" ht="15">
      <c r="A1119" s="114" t="s">
        <v>1760</v>
      </c>
      <c r="B1119" s="114" t="s">
        <v>2012</v>
      </c>
      <c r="C1119" s="114">
        <v>4</v>
      </c>
      <c r="D1119" s="116">
        <v>0.004725616565932753</v>
      </c>
      <c r="E1119" s="116">
        <v>1.7265642161622448</v>
      </c>
      <c r="F1119" s="114" t="s">
        <v>1708</v>
      </c>
      <c r="G1119" s="114" t="b">
        <v>0</v>
      </c>
      <c r="H1119" s="114" t="b">
        <v>0</v>
      </c>
      <c r="I1119" s="114" t="b">
        <v>0</v>
      </c>
      <c r="J1119" s="114" t="b">
        <v>0</v>
      </c>
      <c r="K1119" s="114" t="b">
        <v>0</v>
      </c>
      <c r="L1119" s="114" t="b">
        <v>0</v>
      </c>
    </row>
    <row r="1120" spans="1:12" ht="15">
      <c r="A1120" s="114" t="s">
        <v>1739</v>
      </c>
      <c r="B1120" s="114" t="s">
        <v>1767</v>
      </c>
      <c r="C1120" s="114">
        <v>4</v>
      </c>
      <c r="D1120" s="116">
        <v>0.004725616565932753</v>
      </c>
      <c r="E1120" s="116">
        <v>0.6685179857669629</v>
      </c>
      <c r="F1120" s="114" t="s">
        <v>1708</v>
      </c>
      <c r="G1120" s="114" t="b">
        <v>0</v>
      </c>
      <c r="H1120" s="114" t="b">
        <v>0</v>
      </c>
      <c r="I1120" s="114" t="b">
        <v>0</v>
      </c>
      <c r="J1120" s="114" t="b">
        <v>0</v>
      </c>
      <c r="K1120" s="114" t="b">
        <v>0</v>
      </c>
      <c r="L1120" s="114" t="b">
        <v>0</v>
      </c>
    </row>
    <row r="1121" spans="1:12" ht="15">
      <c r="A1121" s="114" t="s">
        <v>1872</v>
      </c>
      <c r="B1121" s="114" t="s">
        <v>1788</v>
      </c>
      <c r="C1121" s="114">
        <v>4</v>
      </c>
      <c r="D1121" s="116">
        <v>0.004725616565932753</v>
      </c>
      <c r="E1121" s="116">
        <v>2.4255342204982635</v>
      </c>
      <c r="F1121" s="114" t="s">
        <v>1708</v>
      </c>
      <c r="G1121" s="114" t="b">
        <v>0</v>
      </c>
      <c r="H1121" s="114" t="b">
        <v>0</v>
      </c>
      <c r="I1121" s="114" t="b">
        <v>0</v>
      </c>
      <c r="J1121" s="114" t="b">
        <v>0</v>
      </c>
      <c r="K1121" s="114" t="b">
        <v>0</v>
      </c>
      <c r="L1121" s="114" t="b">
        <v>0</v>
      </c>
    </row>
    <row r="1122" spans="1:12" ht="15">
      <c r="A1122" s="114" t="s">
        <v>1910</v>
      </c>
      <c r="B1122" s="114" t="s">
        <v>1739</v>
      </c>
      <c r="C1122" s="114">
        <v>3</v>
      </c>
      <c r="D1122" s="116">
        <v>0.0025024629599961525</v>
      </c>
      <c r="E1122" s="116">
        <v>0.6701676088649395</v>
      </c>
      <c r="F1122" s="114" t="s">
        <v>1708</v>
      </c>
      <c r="G1122" s="114" t="b">
        <v>1</v>
      </c>
      <c r="H1122" s="114" t="b">
        <v>0</v>
      </c>
      <c r="I1122" s="114" t="b">
        <v>0</v>
      </c>
      <c r="J1122" s="114" t="b">
        <v>0</v>
      </c>
      <c r="K1122" s="114" t="b">
        <v>0</v>
      </c>
      <c r="L1122" s="114" t="b">
        <v>0</v>
      </c>
    </row>
    <row r="1123" spans="1:12" ht="15">
      <c r="A1123" s="114" t="s">
        <v>1740</v>
      </c>
      <c r="B1123" s="114" t="s">
        <v>1742</v>
      </c>
      <c r="C1123" s="114">
        <v>3</v>
      </c>
      <c r="D1123" s="116">
        <v>0.0025024629599961525</v>
      </c>
      <c r="E1123" s="116">
        <v>-0.12931821387379097</v>
      </c>
      <c r="F1123" s="114" t="s">
        <v>1708</v>
      </c>
      <c r="G1123" s="114" t="b">
        <v>0</v>
      </c>
      <c r="H1123" s="114" t="b">
        <v>0</v>
      </c>
      <c r="I1123" s="114" t="b">
        <v>0</v>
      </c>
      <c r="J1123" s="114" t="b">
        <v>0</v>
      </c>
      <c r="K1123" s="114" t="b">
        <v>0</v>
      </c>
      <c r="L1123" s="114" t="b">
        <v>0</v>
      </c>
    </row>
    <row r="1124" spans="1:12" ht="15">
      <c r="A1124" s="114" t="s">
        <v>1922</v>
      </c>
      <c r="B1124" s="114" t="s">
        <v>1808</v>
      </c>
      <c r="C1124" s="114">
        <v>3</v>
      </c>
      <c r="D1124" s="116">
        <v>0.0025024629599961525</v>
      </c>
      <c r="E1124" s="116">
        <v>2.6473829701146196</v>
      </c>
      <c r="F1124" s="114" t="s">
        <v>1708</v>
      </c>
      <c r="G1124" s="114" t="b">
        <v>0</v>
      </c>
      <c r="H1124" s="114" t="b">
        <v>0</v>
      </c>
      <c r="I1124" s="114" t="b">
        <v>0</v>
      </c>
      <c r="J1124" s="114" t="b">
        <v>0</v>
      </c>
      <c r="K1124" s="114" t="b">
        <v>0</v>
      </c>
      <c r="L1124" s="114" t="b">
        <v>0</v>
      </c>
    </row>
    <row r="1125" spans="1:12" ht="15">
      <c r="A1125" s="114" t="s">
        <v>1808</v>
      </c>
      <c r="B1125" s="114" t="s">
        <v>1740</v>
      </c>
      <c r="C1125" s="114">
        <v>3</v>
      </c>
      <c r="D1125" s="116">
        <v>0.0025024629599961525</v>
      </c>
      <c r="E1125" s="116">
        <v>1.285655134097027</v>
      </c>
      <c r="F1125" s="114" t="s">
        <v>1708</v>
      </c>
      <c r="G1125" s="114" t="b">
        <v>0</v>
      </c>
      <c r="H1125" s="114" t="b">
        <v>0</v>
      </c>
      <c r="I1125" s="114" t="b">
        <v>0</v>
      </c>
      <c r="J1125" s="114" t="b">
        <v>0</v>
      </c>
      <c r="K1125" s="114" t="b">
        <v>0</v>
      </c>
      <c r="L1125" s="114" t="b">
        <v>0</v>
      </c>
    </row>
    <row r="1126" spans="1:12" ht="15">
      <c r="A1126" s="114" t="s">
        <v>1740</v>
      </c>
      <c r="B1126" s="114" t="s">
        <v>1900</v>
      </c>
      <c r="C1126" s="114">
        <v>3</v>
      </c>
      <c r="D1126" s="116">
        <v>0.0025024629599961525</v>
      </c>
      <c r="E1126" s="116">
        <v>1.285655134097027</v>
      </c>
      <c r="F1126" s="114" t="s">
        <v>1708</v>
      </c>
      <c r="G1126" s="114" t="b">
        <v>0</v>
      </c>
      <c r="H1126" s="114" t="b">
        <v>0</v>
      </c>
      <c r="I1126" s="114" t="b">
        <v>0</v>
      </c>
      <c r="J1126" s="114" t="b">
        <v>0</v>
      </c>
      <c r="K1126" s="114" t="b">
        <v>0</v>
      </c>
      <c r="L1126" s="114" t="b">
        <v>0</v>
      </c>
    </row>
    <row r="1127" spans="1:12" ht="15">
      <c r="A1127" s="114" t="s">
        <v>1900</v>
      </c>
      <c r="B1127" s="114" t="s">
        <v>1766</v>
      </c>
      <c r="C1127" s="114">
        <v>3</v>
      </c>
      <c r="D1127" s="116">
        <v>0.0025024629599961525</v>
      </c>
      <c r="E1127" s="116">
        <v>2.5224442335063197</v>
      </c>
      <c r="F1127" s="114" t="s">
        <v>1708</v>
      </c>
      <c r="G1127" s="114" t="b">
        <v>0</v>
      </c>
      <c r="H1127" s="114" t="b">
        <v>0</v>
      </c>
      <c r="I1127" s="114" t="b">
        <v>0</v>
      </c>
      <c r="J1127" s="114" t="b">
        <v>0</v>
      </c>
      <c r="K1127" s="114" t="b">
        <v>1</v>
      </c>
      <c r="L1127" s="114" t="b">
        <v>0</v>
      </c>
    </row>
    <row r="1128" spans="1:12" ht="15">
      <c r="A1128" s="114" t="s">
        <v>1740</v>
      </c>
      <c r="B1128" s="114" t="s">
        <v>1809</v>
      </c>
      <c r="C1128" s="114">
        <v>3</v>
      </c>
      <c r="D1128" s="116">
        <v>0.0025024629599961525</v>
      </c>
      <c r="E1128" s="116">
        <v>0.9846251384330458</v>
      </c>
      <c r="F1128" s="114" t="s">
        <v>1708</v>
      </c>
      <c r="G1128" s="114" t="b">
        <v>0</v>
      </c>
      <c r="H1128" s="114" t="b">
        <v>0</v>
      </c>
      <c r="I1128" s="114" t="b">
        <v>0</v>
      </c>
      <c r="J1128" s="114" t="b">
        <v>0</v>
      </c>
      <c r="K1128" s="114" t="b">
        <v>0</v>
      </c>
      <c r="L1128" s="114" t="b">
        <v>0</v>
      </c>
    </row>
    <row r="1129" spans="1:12" ht="15">
      <c r="A1129" s="114" t="s">
        <v>1809</v>
      </c>
      <c r="B1129" s="114" t="s">
        <v>1809</v>
      </c>
      <c r="C1129" s="114">
        <v>3</v>
      </c>
      <c r="D1129" s="116">
        <v>0.0025024629599961525</v>
      </c>
      <c r="E1129" s="116">
        <v>2.0453229787866576</v>
      </c>
      <c r="F1129" s="114" t="s">
        <v>1708</v>
      </c>
      <c r="G1129" s="114" t="b">
        <v>0</v>
      </c>
      <c r="H1129" s="114" t="b">
        <v>0</v>
      </c>
      <c r="I1129" s="114" t="b">
        <v>0</v>
      </c>
      <c r="J1129" s="114" t="b">
        <v>0</v>
      </c>
      <c r="K1129" s="114" t="b">
        <v>0</v>
      </c>
      <c r="L1129" s="114" t="b">
        <v>0</v>
      </c>
    </row>
    <row r="1130" spans="1:12" ht="15">
      <c r="A1130" s="114" t="s">
        <v>1809</v>
      </c>
      <c r="B1130" s="114" t="s">
        <v>1740</v>
      </c>
      <c r="C1130" s="114">
        <v>3</v>
      </c>
      <c r="D1130" s="116">
        <v>0.0025024629599961525</v>
      </c>
      <c r="E1130" s="116">
        <v>0.9846251384330458</v>
      </c>
      <c r="F1130" s="114" t="s">
        <v>1708</v>
      </c>
      <c r="G1130" s="114" t="b">
        <v>0</v>
      </c>
      <c r="H1130" s="114" t="b">
        <v>0</v>
      </c>
      <c r="I1130" s="114" t="b">
        <v>0</v>
      </c>
      <c r="J1130" s="114" t="b">
        <v>0</v>
      </c>
      <c r="K1130" s="114" t="b">
        <v>0</v>
      </c>
      <c r="L1130" s="114" t="b">
        <v>0</v>
      </c>
    </row>
    <row r="1131" spans="1:12" ht="15">
      <c r="A1131" s="114" t="s">
        <v>1887</v>
      </c>
      <c r="B1131" s="114" t="s">
        <v>1740</v>
      </c>
      <c r="C1131" s="114">
        <v>3</v>
      </c>
      <c r="D1131" s="116">
        <v>0.0025024629599961525</v>
      </c>
      <c r="E1131" s="116">
        <v>1.285655134097027</v>
      </c>
      <c r="F1131" s="114" t="s">
        <v>1708</v>
      </c>
      <c r="G1131" s="114" t="b">
        <v>0</v>
      </c>
      <c r="H1131" s="114" t="b">
        <v>0</v>
      </c>
      <c r="I1131" s="114" t="b">
        <v>0</v>
      </c>
      <c r="J1131" s="114" t="b">
        <v>0</v>
      </c>
      <c r="K1131" s="114" t="b">
        <v>0</v>
      </c>
      <c r="L1131" s="114" t="b">
        <v>0</v>
      </c>
    </row>
    <row r="1132" spans="1:12" ht="15">
      <c r="A1132" s="114" t="s">
        <v>1740</v>
      </c>
      <c r="B1132" s="114" t="s">
        <v>1757</v>
      </c>
      <c r="C1132" s="114">
        <v>3</v>
      </c>
      <c r="D1132" s="116">
        <v>0.0025024629599961525</v>
      </c>
      <c r="E1132" s="116">
        <v>0.9176783488024326</v>
      </c>
      <c r="F1132" s="114" t="s">
        <v>1708</v>
      </c>
      <c r="G1132" s="114" t="b">
        <v>0</v>
      </c>
      <c r="H1132" s="114" t="b">
        <v>0</v>
      </c>
      <c r="I1132" s="114" t="b">
        <v>0</v>
      </c>
      <c r="J1132" s="114" t="b">
        <v>0</v>
      </c>
      <c r="K1132" s="114" t="b">
        <v>0</v>
      </c>
      <c r="L1132" s="114" t="b">
        <v>0</v>
      </c>
    </row>
    <row r="1133" spans="1:12" ht="15">
      <c r="A1133" s="114" t="s">
        <v>1740</v>
      </c>
      <c r="B1133" s="114" t="s">
        <v>1864</v>
      </c>
      <c r="C1133" s="114">
        <v>3</v>
      </c>
      <c r="D1133" s="116">
        <v>0.0025024629599961525</v>
      </c>
      <c r="E1133" s="116">
        <v>1.285655134097027</v>
      </c>
      <c r="F1133" s="114" t="s">
        <v>1708</v>
      </c>
      <c r="G1133" s="114" t="b">
        <v>0</v>
      </c>
      <c r="H1133" s="114" t="b">
        <v>0</v>
      </c>
      <c r="I1133" s="114" t="b">
        <v>0</v>
      </c>
      <c r="J1133" s="114" t="b">
        <v>0</v>
      </c>
      <c r="K1133" s="114" t="b">
        <v>0</v>
      </c>
      <c r="L1133" s="114" t="b">
        <v>0</v>
      </c>
    </row>
    <row r="1134" spans="1:12" ht="15">
      <c r="A1134" s="114" t="s">
        <v>1776</v>
      </c>
      <c r="B1134" s="114" t="s">
        <v>1897</v>
      </c>
      <c r="C1134" s="114">
        <v>3</v>
      </c>
      <c r="D1134" s="116">
        <v>0.0025024629599961525</v>
      </c>
      <c r="E1134" s="116">
        <v>2.2794061848200253</v>
      </c>
      <c r="F1134" s="114" t="s">
        <v>1708</v>
      </c>
      <c r="G1134" s="114" t="b">
        <v>0</v>
      </c>
      <c r="H1134" s="114" t="b">
        <v>0</v>
      </c>
      <c r="I1134" s="114" t="b">
        <v>0</v>
      </c>
      <c r="J1134" s="114" t="b">
        <v>0</v>
      </c>
      <c r="K1134" s="114" t="b">
        <v>0</v>
      </c>
      <c r="L1134" s="114" t="b">
        <v>0</v>
      </c>
    </row>
    <row r="1135" spans="1:12" ht="15">
      <c r="A1135" s="114" t="s">
        <v>1746</v>
      </c>
      <c r="B1135" s="114" t="s">
        <v>1746</v>
      </c>
      <c r="C1135" s="114">
        <v>3</v>
      </c>
      <c r="D1135" s="116">
        <v>0.0028869416915587756</v>
      </c>
      <c r="E1135" s="116">
        <v>0.788712122911089</v>
      </c>
      <c r="F1135" s="114" t="s">
        <v>1708</v>
      </c>
      <c r="G1135" s="114" t="b">
        <v>0</v>
      </c>
      <c r="H1135" s="114" t="b">
        <v>1</v>
      </c>
      <c r="I1135" s="114" t="b">
        <v>0</v>
      </c>
      <c r="J1135" s="114" t="b">
        <v>0</v>
      </c>
      <c r="K1135" s="114" t="b">
        <v>1</v>
      </c>
      <c r="L1135" s="114" t="b">
        <v>0</v>
      </c>
    </row>
    <row r="1136" spans="1:12" ht="15">
      <c r="A1136" s="114" t="s">
        <v>1747</v>
      </c>
      <c r="B1136" s="114" t="s">
        <v>1758</v>
      </c>
      <c r="C1136" s="114">
        <v>3</v>
      </c>
      <c r="D1136" s="116">
        <v>0.0025024629599961525</v>
      </c>
      <c r="E1136" s="116">
        <v>1.3737387749402712</v>
      </c>
      <c r="F1136" s="114" t="s">
        <v>1708</v>
      </c>
      <c r="G1136" s="114" t="b">
        <v>0</v>
      </c>
      <c r="H1136" s="114" t="b">
        <v>0</v>
      </c>
      <c r="I1136" s="114" t="b">
        <v>0</v>
      </c>
      <c r="J1136" s="114" t="b">
        <v>0</v>
      </c>
      <c r="K1136" s="114" t="b">
        <v>0</v>
      </c>
      <c r="L1136" s="114" t="b">
        <v>0</v>
      </c>
    </row>
    <row r="1137" spans="1:12" ht="15">
      <c r="A1137" s="114" t="s">
        <v>1750</v>
      </c>
      <c r="B1137" s="114" t="s">
        <v>1742</v>
      </c>
      <c r="C1137" s="114">
        <v>3</v>
      </c>
      <c r="D1137" s="116">
        <v>0.0028869416915587756</v>
      </c>
      <c r="E1137" s="116">
        <v>0.5955875245566276</v>
      </c>
      <c r="F1137" s="114" t="s">
        <v>1708</v>
      </c>
      <c r="G1137" s="114" t="b">
        <v>0</v>
      </c>
      <c r="H1137" s="114" t="b">
        <v>0</v>
      </c>
      <c r="I1137" s="114" t="b">
        <v>0</v>
      </c>
      <c r="J1137" s="114" t="b">
        <v>0</v>
      </c>
      <c r="K1137" s="114" t="b">
        <v>0</v>
      </c>
      <c r="L1137" s="114" t="b">
        <v>0</v>
      </c>
    </row>
    <row r="1138" spans="1:12" ht="15">
      <c r="A1138" s="114" t="s">
        <v>1740</v>
      </c>
      <c r="B1138" s="114" t="s">
        <v>1759</v>
      </c>
      <c r="C1138" s="114">
        <v>3</v>
      </c>
      <c r="D1138" s="116">
        <v>0.003544212424449564</v>
      </c>
      <c r="E1138" s="116">
        <v>0.9176783488024326</v>
      </c>
      <c r="F1138" s="114" t="s">
        <v>1708</v>
      </c>
      <c r="G1138" s="114" t="b">
        <v>0</v>
      </c>
      <c r="H1138" s="114" t="b">
        <v>0</v>
      </c>
      <c r="I1138" s="114" t="b">
        <v>0</v>
      </c>
      <c r="J1138" s="114" t="b">
        <v>0</v>
      </c>
      <c r="K1138" s="114" t="b">
        <v>0</v>
      </c>
      <c r="L1138" s="114" t="b">
        <v>0</v>
      </c>
    </row>
    <row r="1139" spans="1:12" ht="15">
      <c r="A1139" s="114" t="s">
        <v>1785</v>
      </c>
      <c r="B1139" s="114" t="s">
        <v>1789</v>
      </c>
      <c r="C1139" s="114">
        <v>3</v>
      </c>
      <c r="D1139" s="116">
        <v>0.003544212424449564</v>
      </c>
      <c r="E1139" s="116">
        <v>2.39750549689802</v>
      </c>
      <c r="F1139" s="114" t="s">
        <v>1708</v>
      </c>
      <c r="G1139" s="114" t="b">
        <v>0</v>
      </c>
      <c r="H1139" s="114" t="b">
        <v>0</v>
      </c>
      <c r="I1139" s="114" t="b">
        <v>0</v>
      </c>
      <c r="J1139" s="114" t="b">
        <v>0</v>
      </c>
      <c r="K1139" s="114" t="b">
        <v>0</v>
      </c>
      <c r="L1139" s="114" t="b">
        <v>0</v>
      </c>
    </row>
    <row r="1140" spans="1:12" ht="15">
      <c r="A1140" s="114" t="s">
        <v>2142</v>
      </c>
      <c r="B1140" s="114" t="s">
        <v>1867</v>
      </c>
      <c r="C1140" s="114">
        <v>3</v>
      </c>
      <c r="D1140" s="116">
        <v>0.003544212424449564</v>
      </c>
      <c r="E1140" s="116">
        <v>2.4255342204982635</v>
      </c>
      <c r="F1140" s="114" t="s">
        <v>1708</v>
      </c>
      <c r="G1140" s="114" t="b">
        <v>0</v>
      </c>
      <c r="H1140" s="114" t="b">
        <v>0</v>
      </c>
      <c r="I1140" s="114" t="b">
        <v>0</v>
      </c>
      <c r="J1140" s="114" t="b">
        <v>0</v>
      </c>
      <c r="K1140" s="114" t="b">
        <v>0</v>
      </c>
      <c r="L1140" s="114" t="b">
        <v>0</v>
      </c>
    </row>
    <row r="1141" spans="1:12" ht="15">
      <c r="A1141" s="114" t="s">
        <v>1739</v>
      </c>
      <c r="B1141" s="114" t="s">
        <v>1874</v>
      </c>
      <c r="C1141" s="114">
        <v>3</v>
      </c>
      <c r="D1141" s="116">
        <v>0.0028869416915587756</v>
      </c>
      <c r="E1141" s="116">
        <v>0.543579249158663</v>
      </c>
      <c r="F1141" s="114" t="s">
        <v>1708</v>
      </c>
      <c r="G1141" s="114" t="b">
        <v>0</v>
      </c>
      <c r="H1141" s="114" t="b">
        <v>0</v>
      </c>
      <c r="I1141" s="114" t="b">
        <v>0</v>
      </c>
      <c r="J1141" s="114" t="b">
        <v>0</v>
      </c>
      <c r="K1141" s="114" t="b">
        <v>0</v>
      </c>
      <c r="L1141" s="114" t="b">
        <v>0</v>
      </c>
    </row>
    <row r="1142" spans="1:12" ht="15">
      <c r="A1142" s="114" t="s">
        <v>1874</v>
      </c>
      <c r="B1142" s="114" t="s">
        <v>2143</v>
      </c>
      <c r="C1142" s="114">
        <v>3</v>
      </c>
      <c r="D1142" s="116">
        <v>0.0028869416915587756</v>
      </c>
      <c r="E1142" s="116">
        <v>2.2214142378423385</v>
      </c>
      <c r="F1142" s="114" t="s">
        <v>1708</v>
      </c>
      <c r="G1142" s="114" t="b">
        <v>0</v>
      </c>
      <c r="H1142" s="114" t="b">
        <v>0</v>
      </c>
      <c r="I1142" s="114" t="b">
        <v>0</v>
      </c>
      <c r="J1142" s="114" t="b">
        <v>0</v>
      </c>
      <c r="K1142" s="114" t="b">
        <v>0</v>
      </c>
      <c r="L1142" s="114" t="b">
        <v>0</v>
      </c>
    </row>
    <row r="1143" spans="1:12" ht="15">
      <c r="A1143" s="114" t="s">
        <v>1816</v>
      </c>
      <c r="B1143" s="114" t="s">
        <v>1739</v>
      </c>
      <c r="C1143" s="114">
        <v>3</v>
      </c>
      <c r="D1143" s="116">
        <v>0.0025024629599961525</v>
      </c>
      <c r="E1143" s="116">
        <v>0.8162956445431777</v>
      </c>
      <c r="F1143" s="114" t="s">
        <v>1708</v>
      </c>
      <c r="G1143" s="114" t="b">
        <v>0</v>
      </c>
      <c r="H1143" s="114" t="b">
        <v>0</v>
      </c>
      <c r="I1143" s="114" t="b">
        <v>0</v>
      </c>
      <c r="J1143" s="114" t="b">
        <v>0</v>
      </c>
      <c r="K1143" s="114" t="b">
        <v>0</v>
      </c>
      <c r="L1143" s="114" t="b">
        <v>0</v>
      </c>
    </row>
    <row r="1144" spans="1:12" ht="15">
      <c r="A1144" s="114" t="s">
        <v>1750</v>
      </c>
      <c r="B1144" s="114" t="s">
        <v>1739</v>
      </c>
      <c r="C1144" s="114">
        <v>3</v>
      </c>
      <c r="D1144" s="116">
        <v>0.0028869416915587756</v>
      </c>
      <c r="E1144" s="116">
        <v>0.4013222965723597</v>
      </c>
      <c r="F1144" s="114" t="s">
        <v>1708</v>
      </c>
      <c r="G1144" s="114" t="b">
        <v>0</v>
      </c>
      <c r="H1144" s="114" t="b">
        <v>0</v>
      </c>
      <c r="I1144" s="114" t="b">
        <v>0</v>
      </c>
      <c r="J1144" s="114" t="b">
        <v>0</v>
      </c>
      <c r="K1144" s="114" t="b">
        <v>0</v>
      </c>
      <c r="L1144" s="114" t="b">
        <v>0</v>
      </c>
    </row>
    <row r="1145" spans="1:12" ht="15">
      <c r="A1145" s="114" t="s">
        <v>1744</v>
      </c>
      <c r="B1145" s="114" t="s">
        <v>1739</v>
      </c>
      <c r="C1145" s="114">
        <v>3</v>
      </c>
      <c r="D1145" s="116">
        <v>0.0025024629599961525</v>
      </c>
      <c r="E1145" s="116">
        <v>0.11732564020715885</v>
      </c>
      <c r="F1145" s="114" t="s">
        <v>1708</v>
      </c>
      <c r="G1145" s="114" t="b">
        <v>0</v>
      </c>
      <c r="H1145" s="114" t="b">
        <v>0</v>
      </c>
      <c r="I1145" s="114" t="b">
        <v>0</v>
      </c>
      <c r="J1145" s="114" t="b">
        <v>0</v>
      </c>
      <c r="K1145" s="114" t="b">
        <v>0</v>
      </c>
      <c r="L1145" s="114" t="b">
        <v>0</v>
      </c>
    </row>
    <row r="1146" spans="1:12" ht="15">
      <c r="A1146" s="114" t="s">
        <v>1771</v>
      </c>
      <c r="B1146" s="114" t="s">
        <v>1739</v>
      </c>
      <c r="C1146" s="114">
        <v>3</v>
      </c>
      <c r="D1146" s="116">
        <v>0.0025024629599961525</v>
      </c>
      <c r="E1146" s="116">
        <v>0.8162956445431777</v>
      </c>
      <c r="F1146" s="114" t="s">
        <v>1708</v>
      </c>
      <c r="G1146" s="114" t="b">
        <v>0</v>
      </c>
      <c r="H1146" s="114" t="b">
        <v>1</v>
      </c>
      <c r="I1146" s="114" t="b">
        <v>0</v>
      </c>
      <c r="J1146" s="114" t="b">
        <v>0</v>
      </c>
      <c r="K1146" s="114" t="b">
        <v>0</v>
      </c>
      <c r="L1146" s="114" t="b">
        <v>0</v>
      </c>
    </row>
    <row r="1147" spans="1:12" ht="15">
      <c r="A1147" s="114" t="s">
        <v>1746</v>
      </c>
      <c r="B1147" s="114" t="s">
        <v>1744</v>
      </c>
      <c r="C1147" s="114">
        <v>3</v>
      </c>
      <c r="D1147" s="116">
        <v>0.0028869416915587756</v>
      </c>
      <c r="E1147" s="116">
        <v>0.8419576348643142</v>
      </c>
      <c r="F1147" s="114" t="s">
        <v>1708</v>
      </c>
      <c r="G1147" s="114" t="b">
        <v>0</v>
      </c>
      <c r="H1147" s="114" t="b">
        <v>1</v>
      </c>
      <c r="I1147" s="114" t="b">
        <v>0</v>
      </c>
      <c r="J1147" s="114" t="b">
        <v>0</v>
      </c>
      <c r="K1147" s="114" t="b">
        <v>0</v>
      </c>
      <c r="L1147" s="114" t="b">
        <v>0</v>
      </c>
    </row>
    <row r="1148" spans="1:12" ht="15">
      <c r="A1148" s="114" t="s">
        <v>1767</v>
      </c>
      <c r="B1148" s="114" t="s">
        <v>1748</v>
      </c>
      <c r="C1148" s="114">
        <v>3</v>
      </c>
      <c r="D1148" s="116">
        <v>0.0028869416915587756</v>
      </c>
      <c r="E1148" s="116">
        <v>1.3251636753807006</v>
      </c>
      <c r="F1148" s="114" t="s">
        <v>1708</v>
      </c>
      <c r="G1148" s="114" t="b">
        <v>0</v>
      </c>
      <c r="H1148" s="114" t="b">
        <v>0</v>
      </c>
      <c r="I1148" s="114" t="b">
        <v>0</v>
      </c>
      <c r="J1148" s="114" t="b">
        <v>0</v>
      </c>
      <c r="K1148" s="114" t="b">
        <v>0</v>
      </c>
      <c r="L1148" s="114" t="b">
        <v>0</v>
      </c>
    </row>
    <row r="1149" spans="1:12" ht="15">
      <c r="A1149" s="114" t="s">
        <v>1739</v>
      </c>
      <c r="B1149" s="114" t="s">
        <v>1898</v>
      </c>
      <c r="C1149" s="114">
        <v>3</v>
      </c>
      <c r="D1149" s="116">
        <v>0.0028869416915587756</v>
      </c>
      <c r="E1149" s="116">
        <v>0.7196705082143442</v>
      </c>
      <c r="F1149" s="114" t="s">
        <v>1708</v>
      </c>
      <c r="G1149" s="114" t="b">
        <v>0</v>
      </c>
      <c r="H1149" s="114" t="b">
        <v>0</v>
      </c>
      <c r="I1149" s="114" t="b">
        <v>0</v>
      </c>
      <c r="J1149" s="114" t="b">
        <v>0</v>
      </c>
      <c r="K1149" s="114" t="b">
        <v>0</v>
      </c>
      <c r="L1149" s="114" t="b">
        <v>0</v>
      </c>
    </row>
    <row r="1150" spans="1:12" ht="15">
      <c r="A1150" s="114" t="s">
        <v>1917</v>
      </c>
      <c r="B1150" s="114" t="s">
        <v>1752</v>
      </c>
      <c r="C1150" s="114">
        <v>3</v>
      </c>
      <c r="D1150" s="116">
        <v>0.0028869416915587756</v>
      </c>
      <c r="E1150" s="116">
        <v>1.9783761891560443</v>
      </c>
      <c r="F1150" s="114" t="s">
        <v>1708</v>
      </c>
      <c r="G1150" s="114" t="b">
        <v>0</v>
      </c>
      <c r="H1150" s="114" t="b">
        <v>0</v>
      </c>
      <c r="I1150" s="114" t="b">
        <v>0</v>
      </c>
      <c r="J1150" s="114" t="b">
        <v>0</v>
      </c>
      <c r="K1150" s="114" t="b">
        <v>0</v>
      </c>
      <c r="L1150" s="114" t="b">
        <v>0</v>
      </c>
    </row>
    <row r="1151" spans="1:12" ht="15">
      <c r="A1151" s="114" t="s">
        <v>2207</v>
      </c>
      <c r="B1151" s="114" t="s">
        <v>2208</v>
      </c>
      <c r="C1151" s="114">
        <v>3</v>
      </c>
      <c r="D1151" s="116">
        <v>0.003544212424449564</v>
      </c>
      <c r="E1151" s="116">
        <v>2.6473829701146196</v>
      </c>
      <c r="F1151" s="114" t="s">
        <v>1708</v>
      </c>
      <c r="G1151" s="114" t="b">
        <v>0</v>
      </c>
      <c r="H1151" s="114" t="b">
        <v>0</v>
      </c>
      <c r="I1151" s="114" t="b">
        <v>0</v>
      </c>
      <c r="J1151" s="114" t="b">
        <v>0</v>
      </c>
      <c r="K1151" s="114" t="b">
        <v>0</v>
      </c>
      <c r="L1151" s="114" t="b">
        <v>0</v>
      </c>
    </row>
    <row r="1152" spans="1:12" ht="15">
      <c r="A1152" s="114" t="s">
        <v>2082</v>
      </c>
      <c r="B1152" s="114" t="s">
        <v>1760</v>
      </c>
      <c r="C1152" s="114">
        <v>3</v>
      </c>
      <c r="D1152" s="116">
        <v>0.003544212424449564</v>
      </c>
      <c r="E1152" s="116">
        <v>1.677346193492063</v>
      </c>
      <c r="F1152" s="114" t="s">
        <v>1708</v>
      </c>
      <c r="G1152" s="114" t="b">
        <v>0</v>
      </c>
      <c r="H1152" s="114" t="b">
        <v>0</v>
      </c>
      <c r="I1152" s="114" t="b">
        <v>0</v>
      </c>
      <c r="J1152" s="114" t="b">
        <v>0</v>
      </c>
      <c r="K1152" s="114" t="b">
        <v>0</v>
      </c>
      <c r="L1152" s="114" t="b">
        <v>0</v>
      </c>
    </row>
    <row r="1153" spans="1:12" ht="15">
      <c r="A1153" s="114" t="s">
        <v>2201</v>
      </c>
      <c r="B1153" s="114" t="s">
        <v>2202</v>
      </c>
      <c r="C1153" s="114">
        <v>3</v>
      </c>
      <c r="D1153" s="116">
        <v>0.003544212424449564</v>
      </c>
      <c r="E1153" s="116">
        <v>2.6473829701146196</v>
      </c>
      <c r="F1153" s="114" t="s">
        <v>1708</v>
      </c>
      <c r="G1153" s="114" t="b">
        <v>0</v>
      </c>
      <c r="H1153" s="114" t="b">
        <v>0</v>
      </c>
      <c r="I1153" s="114" t="b">
        <v>0</v>
      </c>
      <c r="J1153" s="114" t="b">
        <v>0</v>
      </c>
      <c r="K1153" s="114" t="b">
        <v>0</v>
      </c>
      <c r="L1153" s="114" t="b">
        <v>0</v>
      </c>
    </row>
    <row r="1154" spans="1:12" ht="15">
      <c r="A1154" s="114" t="s">
        <v>1783</v>
      </c>
      <c r="B1154" s="114" t="s">
        <v>1970</v>
      </c>
      <c r="C1154" s="114">
        <v>3</v>
      </c>
      <c r="D1154" s="116">
        <v>0.0028869416915587756</v>
      </c>
      <c r="E1154" s="116">
        <v>1.7095308768634643</v>
      </c>
      <c r="F1154" s="114" t="s">
        <v>1708</v>
      </c>
      <c r="G1154" s="114" t="b">
        <v>0</v>
      </c>
      <c r="H1154" s="114" t="b">
        <v>0</v>
      </c>
      <c r="I1154" s="114" t="b">
        <v>0</v>
      </c>
      <c r="J1154" s="114" t="b">
        <v>0</v>
      </c>
      <c r="K1154" s="114" t="b">
        <v>0</v>
      </c>
      <c r="L1154" s="114" t="b">
        <v>0</v>
      </c>
    </row>
    <row r="1155" spans="1:12" ht="15">
      <c r="A1155" s="114" t="s">
        <v>1970</v>
      </c>
      <c r="B1155" s="114" t="s">
        <v>1741</v>
      </c>
      <c r="C1155" s="114">
        <v>3</v>
      </c>
      <c r="D1155" s="116">
        <v>0.003544212424449564</v>
      </c>
      <c r="E1155" s="116">
        <v>0.8839549765516825</v>
      </c>
      <c r="F1155" s="114" t="s">
        <v>1708</v>
      </c>
      <c r="G1155" s="114" t="b">
        <v>0</v>
      </c>
      <c r="H1155" s="114" t="b">
        <v>0</v>
      </c>
      <c r="I1155" s="114" t="b">
        <v>0</v>
      </c>
      <c r="J1155" s="114" t="b">
        <v>0</v>
      </c>
      <c r="K1155" s="114" t="b">
        <v>0</v>
      </c>
      <c r="L1155" s="114" t="b">
        <v>0</v>
      </c>
    </row>
    <row r="1156" spans="1:12" ht="15">
      <c r="A1156" s="114" t="s">
        <v>1961</v>
      </c>
      <c r="B1156" s="114" t="s">
        <v>1851</v>
      </c>
      <c r="C1156" s="114">
        <v>3</v>
      </c>
      <c r="D1156" s="116">
        <v>0.003544212424449564</v>
      </c>
      <c r="E1156" s="116">
        <v>1.9203842421783575</v>
      </c>
      <c r="F1156" s="114" t="s">
        <v>1708</v>
      </c>
      <c r="G1156" s="114" t="b">
        <v>0</v>
      </c>
      <c r="H1156" s="114" t="b">
        <v>0</v>
      </c>
      <c r="I1156" s="114" t="b">
        <v>0</v>
      </c>
      <c r="J1156" s="114" t="b">
        <v>0</v>
      </c>
      <c r="K1156" s="114" t="b">
        <v>0</v>
      </c>
      <c r="L1156" s="114" t="b">
        <v>0</v>
      </c>
    </row>
    <row r="1157" spans="1:12" ht="15">
      <c r="A1157" s="114" t="s">
        <v>1749</v>
      </c>
      <c r="B1157" s="114" t="s">
        <v>1739</v>
      </c>
      <c r="C1157" s="114">
        <v>3</v>
      </c>
      <c r="D1157" s="116">
        <v>0.0028869416915587756</v>
      </c>
      <c r="E1157" s="116">
        <v>0.4738729637209715</v>
      </c>
      <c r="F1157" s="114" t="s">
        <v>1708</v>
      </c>
      <c r="G1157" s="114" t="b">
        <v>0</v>
      </c>
      <c r="H1157" s="114" t="b">
        <v>0</v>
      </c>
      <c r="I1157" s="114" t="b">
        <v>0</v>
      </c>
      <c r="J1157" s="114" t="b">
        <v>0</v>
      </c>
      <c r="K1157" s="114" t="b">
        <v>0</v>
      </c>
      <c r="L1157" s="114" t="b">
        <v>0</v>
      </c>
    </row>
    <row r="1158" spans="1:12" ht="15">
      <c r="A1158" s="114" t="s">
        <v>1767</v>
      </c>
      <c r="B1158" s="114" t="s">
        <v>1767</v>
      </c>
      <c r="C1158" s="114">
        <v>3</v>
      </c>
      <c r="D1158" s="116">
        <v>0.003544212424449564</v>
      </c>
      <c r="E1158" s="116">
        <v>1.693140460675295</v>
      </c>
      <c r="F1158" s="114" t="s">
        <v>1708</v>
      </c>
      <c r="G1158" s="114" t="b">
        <v>0</v>
      </c>
      <c r="H1158" s="114" t="b">
        <v>0</v>
      </c>
      <c r="I1158" s="114" t="b">
        <v>0</v>
      </c>
      <c r="J1158" s="114" t="b">
        <v>0</v>
      </c>
      <c r="K1158" s="114" t="b">
        <v>0</v>
      </c>
      <c r="L1158" s="114" t="b">
        <v>0</v>
      </c>
    </row>
    <row r="1159" spans="1:12" ht="15">
      <c r="A1159" s="114" t="s">
        <v>1846</v>
      </c>
      <c r="B1159" s="114" t="s">
        <v>1740</v>
      </c>
      <c r="C1159" s="114">
        <v>3</v>
      </c>
      <c r="D1159" s="116">
        <v>0.003544212424449564</v>
      </c>
      <c r="E1159" s="116">
        <v>1.160716397488727</v>
      </c>
      <c r="F1159" s="114" t="s">
        <v>1708</v>
      </c>
      <c r="G1159" s="114" t="b">
        <v>0</v>
      </c>
      <c r="H1159" s="114" t="b">
        <v>0</v>
      </c>
      <c r="I1159" s="114" t="b">
        <v>0</v>
      </c>
      <c r="J1159" s="114" t="b">
        <v>0</v>
      </c>
      <c r="K1159" s="114" t="b">
        <v>0</v>
      </c>
      <c r="L1159" s="114" t="b">
        <v>0</v>
      </c>
    </row>
    <row r="1160" spans="1:12" ht="15">
      <c r="A1160" s="114" t="s">
        <v>1742</v>
      </c>
      <c r="B1160" s="114" t="s">
        <v>1902</v>
      </c>
      <c r="C1160" s="114">
        <v>2</v>
      </c>
      <c r="D1160" s="116">
        <v>0.0019246277943725174</v>
      </c>
      <c r="E1160" s="116">
        <v>0.948412965778601</v>
      </c>
      <c r="F1160" s="114" t="s">
        <v>1708</v>
      </c>
      <c r="G1160" s="114" t="b">
        <v>0</v>
      </c>
      <c r="H1160" s="114" t="b">
        <v>0</v>
      </c>
      <c r="I1160" s="114" t="b">
        <v>0</v>
      </c>
      <c r="J1160" s="114" t="b">
        <v>0</v>
      </c>
      <c r="K1160" s="114" t="b">
        <v>0</v>
      </c>
      <c r="L1160" s="114" t="b">
        <v>0</v>
      </c>
    </row>
    <row r="1161" spans="1:12" ht="15">
      <c r="A1161" s="114" t="s">
        <v>1760</v>
      </c>
      <c r="B1161" s="114" t="s">
        <v>2190</v>
      </c>
      <c r="C1161" s="114">
        <v>2</v>
      </c>
      <c r="D1161" s="116">
        <v>0.0023628082829663766</v>
      </c>
      <c r="E1161" s="116">
        <v>1.6473829701146199</v>
      </c>
      <c r="F1161" s="114" t="s">
        <v>1708</v>
      </c>
      <c r="G1161" s="114" t="b">
        <v>0</v>
      </c>
      <c r="H1161" s="114" t="b">
        <v>0</v>
      </c>
      <c r="I1161" s="114" t="b">
        <v>0</v>
      </c>
      <c r="J1161" s="114" t="b">
        <v>0</v>
      </c>
      <c r="K1161" s="114" t="b">
        <v>0</v>
      </c>
      <c r="L1161" s="114" t="b">
        <v>0</v>
      </c>
    </row>
    <row r="1162" spans="1:12" ht="15">
      <c r="A1162" s="114" t="s">
        <v>2190</v>
      </c>
      <c r="B1162" s="114" t="s">
        <v>1782</v>
      </c>
      <c r="C1162" s="114">
        <v>2</v>
      </c>
      <c r="D1162" s="116">
        <v>0.0023628082829663766</v>
      </c>
      <c r="E1162" s="116">
        <v>2.103314925764344</v>
      </c>
      <c r="F1162" s="114" t="s">
        <v>1708</v>
      </c>
      <c r="G1162" s="114" t="b">
        <v>0</v>
      </c>
      <c r="H1162" s="114" t="b">
        <v>0</v>
      </c>
      <c r="I1162" s="114" t="b">
        <v>0</v>
      </c>
      <c r="J1162" s="114" t="b">
        <v>0</v>
      </c>
      <c r="K1162" s="114" t="b">
        <v>0</v>
      </c>
      <c r="L1162" s="114" t="b">
        <v>0</v>
      </c>
    </row>
    <row r="1163" spans="1:12" ht="15">
      <c r="A1163" s="114" t="s">
        <v>1854</v>
      </c>
      <c r="B1163" s="114" t="s">
        <v>1855</v>
      </c>
      <c r="C1163" s="114">
        <v>2</v>
      </c>
      <c r="D1163" s="116">
        <v>0.0023628082829663766</v>
      </c>
      <c r="E1163" s="116">
        <v>2.823474229170301</v>
      </c>
      <c r="F1163" s="114" t="s">
        <v>1708</v>
      </c>
      <c r="G1163" s="114" t="b">
        <v>0</v>
      </c>
      <c r="H1163" s="114" t="b">
        <v>0</v>
      </c>
      <c r="I1163" s="114" t="b">
        <v>0</v>
      </c>
      <c r="J1163" s="114" t="b">
        <v>0</v>
      </c>
      <c r="K1163" s="114" t="b">
        <v>0</v>
      </c>
      <c r="L1163" s="114" t="b">
        <v>0</v>
      </c>
    </row>
    <row r="1164" spans="1:12" ht="15">
      <c r="A1164" s="114" t="s">
        <v>2347</v>
      </c>
      <c r="B1164" s="114" t="s">
        <v>1742</v>
      </c>
      <c r="C1164" s="114">
        <v>2</v>
      </c>
      <c r="D1164" s="116">
        <v>0.0023628082829663766</v>
      </c>
      <c r="E1164" s="116">
        <v>1.232409622143802</v>
      </c>
      <c r="F1164" s="114" t="s">
        <v>1708</v>
      </c>
      <c r="G1164" s="114" t="b">
        <v>0</v>
      </c>
      <c r="H1164" s="114" t="b">
        <v>0</v>
      </c>
      <c r="I1164" s="114" t="b">
        <v>0</v>
      </c>
      <c r="J1164" s="114" t="b">
        <v>0</v>
      </c>
      <c r="K1164" s="114" t="b">
        <v>0</v>
      </c>
      <c r="L1164" s="114" t="b">
        <v>0</v>
      </c>
    </row>
    <row r="1165" spans="1:12" ht="15">
      <c r="A1165" s="114" t="s">
        <v>1746</v>
      </c>
      <c r="B1165" s="114" t="s">
        <v>1748</v>
      </c>
      <c r="C1165" s="114">
        <v>2</v>
      </c>
      <c r="D1165" s="116">
        <v>0.0019246277943725174</v>
      </c>
      <c r="E1165" s="116">
        <v>0.7053749170923066</v>
      </c>
      <c r="F1165" s="114" t="s">
        <v>1708</v>
      </c>
      <c r="G1165" s="114" t="b">
        <v>0</v>
      </c>
      <c r="H1165" s="114" t="b">
        <v>1</v>
      </c>
      <c r="I1165" s="114" t="b">
        <v>0</v>
      </c>
      <c r="J1165" s="114" t="b">
        <v>0</v>
      </c>
      <c r="K1165" s="114" t="b">
        <v>0</v>
      </c>
      <c r="L1165" s="114" t="b">
        <v>0</v>
      </c>
    </row>
    <row r="1166" spans="1:12" ht="15">
      <c r="A1166" s="114" t="s">
        <v>1740</v>
      </c>
      <c r="B1166" s="114" t="s">
        <v>1959</v>
      </c>
      <c r="C1166" s="114">
        <v>2</v>
      </c>
      <c r="D1166" s="116">
        <v>0.0019246277943725174</v>
      </c>
      <c r="E1166" s="116">
        <v>0.9846251384330458</v>
      </c>
      <c r="F1166" s="114" t="s">
        <v>1708</v>
      </c>
      <c r="G1166" s="114" t="b">
        <v>0</v>
      </c>
      <c r="H1166" s="114" t="b">
        <v>0</v>
      </c>
      <c r="I1166" s="114" t="b">
        <v>0</v>
      </c>
      <c r="J1166" s="114" t="b">
        <v>0</v>
      </c>
      <c r="K1166" s="114" t="b">
        <v>0</v>
      </c>
      <c r="L1166" s="114" t="b">
        <v>0</v>
      </c>
    </row>
    <row r="1167" spans="1:12" ht="15">
      <c r="A1167" s="114" t="s">
        <v>1743</v>
      </c>
      <c r="B1167" s="114" t="s">
        <v>1760</v>
      </c>
      <c r="C1167" s="114">
        <v>2</v>
      </c>
      <c r="D1167" s="116">
        <v>0.0019246277943725174</v>
      </c>
      <c r="E1167" s="116">
        <v>0.2644658350270889</v>
      </c>
      <c r="F1167" s="114" t="s">
        <v>1708</v>
      </c>
      <c r="G1167" s="114" t="b">
        <v>0</v>
      </c>
      <c r="H1167" s="114" t="b">
        <v>0</v>
      </c>
      <c r="I1167" s="114" t="b">
        <v>0</v>
      </c>
      <c r="J1167" s="114" t="b">
        <v>0</v>
      </c>
      <c r="K1167" s="114" t="b">
        <v>0</v>
      </c>
      <c r="L1167" s="114" t="b">
        <v>0</v>
      </c>
    </row>
    <row r="1168" spans="1:12" ht="15">
      <c r="A1168" s="114" t="s">
        <v>1760</v>
      </c>
      <c r="B1168" s="114" t="s">
        <v>1741</v>
      </c>
      <c r="C1168" s="114">
        <v>2</v>
      </c>
      <c r="D1168" s="116">
        <v>0.0019246277943725174</v>
      </c>
      <c r="E1168" s="116">
        <v>0.1849849722156638</v>
      </c>
      <c r="F1168" s="114" t="s">
        <v>1708</v>
      </c>
      <c r="G1168" s="114" t="b">
        <v>0</v>
      </c>
      <c r="H1168" s="114" t="b">
        <v>0</v>
      </c>
      <c r="I1168" s="114" t="b">
        <v>0</v>
      </c>
      <c r="J1168" s="114" t="b">
        <v>0</v>
      </c>
      <c r="K1168" s="114" t="b">
        <v>0</v>
      </c>
      <c r="L1168" s="114" t="b">
        <v>0</v>
      </c>
    </row>
    <row r="1169" spans="1:12" ht="15">
      <c r="A1169" s="114" t="s">
        <v>1746</v>
      </c>
      <c r="B1169" s="114" t="s">
        <v>1742</v>
      </c>
      <c r="C1169" s="114">
        <v>2</v>
      </c>
      <c r="D1169" s="116">
        <v>0.0019246277943725174</v>
      </c>
      <c r="E1169" s="116">
        <v>0.1354996091357454</v>
      </c>
      <c r="F1169" s="114" t="s">
        <v>1708</v>
      </c>
      <c r="G1169" s="114" t="b">
        <v>0</v>
      </c>
      <c r="H1169" s="114" t="b">
        <v>1</v>
      </c>
      <c r="I1169" s="114" t="b">
        <v>0</v>
      </c>
      <c r="J1169" s="114" t="b">
        <v>0</v>
      </c>
      <c r="K1169" s="114" t="b">
        <v>0</v>
      </c>
      <c r="L1169" s="114" t="b">
        <v>0</v>
      </c>
    </row>
    <row r="1170" spans="1:12" ht="15">
      <c r="A1170" s="114" t="s">
        <v>1739</v>
      </c>
      <c r="B1170" s="114" t="s">
        <v>1744</v>
      </c>
      <c r="C1170" s="114">
        <v>2</v>
      </c>
      <c r="D1170" s="116">
        <v>0.0019246277943725174</v>
      </c>
      <c r="E1170" s="116">
        <v>-0.03999733647528629</v>
      </c>
      <c r="F1170" s="114" t="s">
        <v>1708</v>
      </c>
      <c r="G1170" s="114" t="b">
        <v>0</v>
      </c>
      <c r="H1170" s="114" t="b">
        <v>0</v>
      </c>
      <c r="I1170" s="114" t="b">
        <v>0</v>
      </c>
      <c r="J1170" s="114" t="b">
        <v>0</v>
      </c>
      <c r="K1170" s="114" t="b">
        <v>0</v>
      </c>
      <c r="L1170" s="114" t="b">
        <v>0</v>
      </c>
    </row>
    <row r="1171" spans="1:12" ht="15">
      <c r="A1171" s="114" t="s">
        <v>1901</v>
      </c>
      <c r="B1171" s="114" t="s">
        <v>2189</v>
      </c>
      <c r="C1171" s="114">
        <v>2</v>
      </c>
      <c r="D1171" s="116">
        <v>0.0019246277943725174</v>
      </c>
      <c r="E1171" s="116">
        <v>1.9941704563392761</v>
      </c>
      <c r="F1171" s="114" t="s">
        <v>1708</v>
      </c>
      <c r="G1171" s="114" t="b">
        <v>0</v>
      </c>
      <c r="H1171" s="114" t="b">
        <v>0</v>
      </c>
      <c r="I1171" s="114" t="b">
        <v>0</v>
      </c>
      <c r="J1171" s="114" t="b">
        <v>0</v>
      </c>
      <c r="K1171" s="114" t="b">
        <v>0</v>
      </c>
      <c r="L1171" s="114" t="b">
        <v>0</v>
      </c>
    </row>
    <row r="1172" spans="1:12" ht="15">
      <c r="A1172" s="114" t="s">
        <v>1761</v>
      </c>
      <c r="B1172" s="114" t="s">
        <v>1745</v>
      </c>
      <c r="C1172" s="114">
        <v>2</v>
      </c>
      <c r="D1172" s="116">
        <v>0.0019246277943725174</v>
      </c>
      <c r="E1172" s="116">
        <v>2.5224442335063197</v>
      </c>
      <c r="F1172" s="114" t="s">
        <v>1708</v>
      </c>
      <c r="G1172" s="114" t="b">
        <v>0</v>
      </c>
      <c r="H1172" s="114" t="b">
        <v>0</v>
      </c>
      <c r="I1172" s="114" t="b">
        <v>0</v>
      </c>
      <c r="J1172" s="114" t="b">
        <v>0</v>
      </c>
      <c r="K1172" s="114" t="b">
        <v>0</v>
      </c>
      <c r="L1172" s="114" t="b">
        <v>0</v>
      </c>
    </row>
    <row r="1173" spans="1:12" ht="15">
      <c r="A1173" s="114" t="s">
        <v>1770</v>
      </c>
      <c r="B1173" s="114" t="s">
        <v>2134</v>
      </c>
      <c r="C1173" s="114">
        <v>2</v>
      </c>
      <c r="D1173" s="116">
        <v>0.0023628082829663766</v>
      </c>
      <c r="E1173" s="116">
        <v>2.1245042248342823</v>
      </c>
      <c r="F1173" s="114" t="s">
        <v>1708</v>
      </c>
      <c r="G1173" s="114" t="b">
        <v>0</v>
      </c>
      <c r="H1173" s="114" t="b">
        <v>0</v>
      </c>
      <c r="I1173" s="114" t="b">
        <v>0</v>
      </c>
      <c r="J1173" s="114" t="b">
        <v>0</v>
      </c>
      <c r="K1173" s="114" t="b">
        <v>0</v>
      </c>
      <c r="L1173" s="114" t="b">
        <v>0</v>
      </c>
    </row>
    <row r="1174" spans="1:12" ht="15">
      <c r="A1174" s="114" t="s">
        <v>2134</v>
      </c>
      <c r="B1174" s="114" t="s">
        <v>1770</v>
      </c>
      <c r="C1174" s="114">
        <v>2</v>
      </c>
      <c r="D1174" s="116">
        <v>0.0023628082829663766</v>
      </c>
      <c r="E1174" s="116">
        <v>2.1245042248342823</v>
      </c>
      <c r="F1174" s="114" t="s">
        <v>1708</v>
      </c>
      <c r="G1174" s="114" t="b">
        <v>0</v>
      </c>
      <c r="H1174" s="114" t="b">
        <v>0</v>
      </c>
      <c r="I1174" s="114" t="b">
        <v>0</v>
      </c>
      <c r="J1174" s="114" t="b">
        <v>0</v>
      </c>
      <c r="K1174" s="114" t="b">
        <v>0</v>
      </c>
      <c r="L1174" s="114" t="b">
        <v>0</v>
      </c>
    </row>
    <row r="1175" spans="1:12" ht="15">
      <c r="A1175" s="114" t="s">
        <v>1770</v>
      </c>
      <c r="B1175" s="114" t="s">
        <v>1740</v>
      </c>
      <c r="C1175" s="114">
        <v>2</v>
      </c>
      <c r="D1175" s="116">
        <v>0.0019246277943725174</v>
      </c>
      <c r="E1175" s="116">
        <v>0.5866851297610082</v>
      </c>
      <c r="F1175" s="114" t="s">
        <v>1708</v>
      </c>
      <c r="G1175" s="114" t="b">
        <v>0</v>
      </c>
      <c r="H1175" s="114" t="b">
        <v>0</v>
      </c>
      <c r="I1175" s="114" t="b">
        <v>0</v>
      </c>
      <c r="J1175" s="114" t="b">
        <v>0</v>
      </c>
      <c r="K1175" s="114" t="b">
        <v>0</v>
      </c>
      <c r="L1175" s="114" t="b">
        <v>0</v>
      </c>
    </row>
    <row r="1176" spans="1:12" ht="15">
      <c r="A1176" s="114" t="s">
        <v>1770</v>
      </c>
      <c r="B1176" s="114" t="s">
        <v>1759</v>
      </c>
      <c r="C1176" s="114">
        <v>2</v>
      </c>
      <c r="D1176" s="116">
        <v>0.0023628082829663766</v>
      </c>
      <c r="E1176" s="116">
        <v>1.5804361804840066</v>
      </c>
      <c r="F1176" s="114" t="s">
        <v>1708</v>
      </c>
      <c r="G1176" s="114" t="b">
        <v>0</v>
      </c>
      <c r="H1176" s="114" t="b">
        <v>0</v>
      </c>
      <c r="I1176" s="114" t="b">
        <v>0</v>
      </c>
      <c r="J1176" s="114" t="b">
        <v>0</v>
      </c>
      <c r="K1176" s="114" t="b">
        <v>0</v>
      </c>
      <c r="L1176" s="114" t="b">
        <v>0</v>
      </c>
    </row>
    <row r="1177" spans="1:12" ht="15">
      <c r="A1177" s="114" t="s">
        <v>1789</v>
      </c>
      <c r="B1177" s="114" t="s">
        <v>1764</v>
      </c>
      <c r="C1177" s="114">
        <v>2</v>
      </c>
      <c r="D1177" s="116">
        <v>0.0023628082829663766</v>
      </c>
      <c r="E1177" s="116">
        <v>2.0453229787866576</v>
      </c>
      <c r="F1177" s="114" t="s">
        <v>1708</v>
      </c>
      <c r="G1177" s="114" t="b">
        <v>0</v>
      </c>
      <c r="H1177" s="114" t="b">
        <v>0</v>
      </c>
      <c r="I1177" s="114" t="b">
        <v>0</v>
      </c>
      <c r="J1177" s="114" t="b">
        <v>0</v>
      </c>
      <c r="K1177" s="114" t="b">
        <v>0</v>
      </c>
      <c r="L1177" s="114" t="b">
        <v>0</v>
      </c>
    </row>
    <row r="1178" spans="1:12" ht="15">
      <c r="A1178" s="114" t="s">
        <v>1873</v>
      </c>
      <c r="B1178" s="114" t="s">
        <v>2041</v>
      </c>
      <c r="C1178" s="114">
        <v>2</v>
      </c>
      <c r="D1178" s="116">
        <v>0.0019246277943725174</v>
      </c>
      <c r="E1178" s="116">
        <v>2.5224442335063197</v>
      </c>
      <c r="F1178" s="114" t="s">
        <v>1708</v>
      </c>
      <c r="G1178" s="114" t="b">
        <v>0</v>
      </c>
      <c r="H1178" s="114" t="b">
        <v>0</v>
      </c>
      <c r="I1178" s="114" t="b">
        <v>0</v>
      </c>
      <c r="J1178" s="114" t="b">
        <v>0</v>
      </c>
      <c r="K1178" s="114" t="b">
        <v>0</v>
      </c>
      <c r="L1178" s="114" t="b">
        <v>0</v>
      </c>
    </row>
    <row r="1179" spans="1:12" ht="15">
      <c r="A1179" s="114" t="s">
        <v>2041</v>
      </c>
      <c r="B1179" s="114" t="s">
        <v>2138</v>
      </c>
      <c r="C1179" s="114">
        <v>2</v>
      </c>
      <c r="D1179" s="116">
        <v>0.0019246277943725174</v>
      </c>
      <c r="E1179" s="116">
        <v>2.823474229170301</v>
      </c>
      <c r="F1179" s="114" t="s">
        <v>1708</v>
      </c>
      <c r="G1179" s="114" t="b">
        <v>0</v>
      </c>
      <c r="H1179" s="114" t="b">
        <v>0</v>
      </c>
      <c r="I1179" s="114" t="b">
        <v>0</v>
      </c>
      <c r="J1179" s="114" t="b">
        <v>0</v>
      </c>
      <c r="K1179" s="114" t="b">
        <v>0</v>
      </c>
      <c r="L1179" s="114" t="b">
        <v>0</v>
      </c>
    </row>
    <row r="1180" spans="1:12" ht="15">
      <c r="A1180" s="114" t="s">
        <v>1795</v>
      </c>
      <c r="B1180" s="114" t="s">
        <v>1867</v>
      </c>
      <c r="C1180" s="114">
        <v>2</v>
      </c>
      <c r="D1180" s="116">
        <v>0.0023628082829663766</v>
      </c>
      <c r="E1180" s="116">
        <v>2.1245042248342823</v>
      </c>
      <c r="F1180" s="114" t="s">
        <v>1708</v>
      </c>
      <c r="G1180" s="114" t="b">
        <v>0</v>
      </c>
      <c r="H1180" s="114" t="b">
        <v>1</v>
      </c>
      <c r="I1180" s="114" t="b">
        <v>0</v>
      </c>
      <c r="J1180" s="114" t="b">
        <v>0</v>
      </c>
      <c r="K1180" s="114" t="b">
        <v>0</v>
      </c>
      <c r="L1180" s="114" t="b">
        <v>0</v>
      </c>
    </row>
    <row r="1181" spans="1:12" ht="15">
      <c r="A1181" s="114" t="s">
        <v>1835</v>
      </c>
      <c r="B1181" s="114" t="s">
        <v>1835</v>
      </c>
      <c r="C1181" s="114">
        <v>2</v>
      </c>
      <c r="D1181" s="116">
        <v>0.0019246277943725174</v>
      </c>
      <c r="E1181" s="116">
        <v>1.802284930100363</v>
      </c>
      <c r="F1181" s="114" t="s">
        <v>1708</v>
      </c>
      <c r="G1181" s="114" t="b">
        <v>0</v>
      </c>
      <c r="H1181" s="114" t="b">
        <v>0</v>
      </c>
      <c r="I1181" s="114" t="b">
        <v>0</v>
      </c>
      <c r="J1181" s="114" t="b">
        <v>0</v>
      </c>
      <c r="K1181" s="114" t="b">
        <v>0</v>
      </c>
      <c r="L1181" s="114" t="b">
        <v>0</v>
      </c>
    </row>
    <row r="1182" spans="1:12" ht="15">
      <c r="A1182" s="114" t="s">
        <v>1835</v>
      </c>
      <c r="B1182" s="114" t="s">
        <v>1958</v>
      </c>
      <c r="C1182" s="114">
        <v>2</v>
      </c>
      <c r="D1182" s="116">
        <v>0.0019246277943725174</v>
      </c>
      <c r="E1182" s="116">
        <v>2.2794061848200253</v>
      </c>
      <c r="F1182" s="114" t="s">
        <v>1708</v>
      </c>
      <c r="G1182" s="114" t="b">
        <v>0</v>
      </c>
      <c r="H1182" s="114" t="b">
        <v>0</v>
      </c>
      <c r="I1182" s="114" t="b">
        <v>0</v>
      </c>
      <c r="J1182" s="114" t="b">
        <v>0</v>
      </c>
      <c r="K1182" s="114" t="b">
        <v>0</v>
      </c>
      <c r="L1182" s="114" t="b">
        <v>0</v>
      </c>
    </row>
    <row r="1183" spans="1:12" ht="15">
      <c r="A1183" s="114" t="s">
        <v>1739</v>
      </c>
      <c r="B1183" s="114" t="s">
        <v>1804</v>
      </c>
      <c r="C1183" s="114">
        <v>2</v>
      </c>
      <c r="D1183" s="116">
        <v>0.0019246277943725174</v>
      </c>
      <c r="E1183" s="116">
        <v>1.0207005038783254</v>
      </c>
      <c r="F1183" s="114" t="s">
        <v>1708</v>
      </c>
      <c r="G1183" s="114" t="b">
        <v>0</v>
      </c>
      <c r="H1183" s="114" t="b">
        <v>0</v>
      </c>
      <c r="I1183" s="114" t="b">
        <v>0</v>
      </c>
      <c r="J1183" s="114" t="b">
        <v>0</v>
      </c>
      <c r="K1183" s="114" t="b">
        <v>0</v>
      </c>
      <c r="L1183" s="114" t="b">
        <v>0</v>
      </c>
    </row>
    <row r="1184" spans="1:12" ht="15">
      <c r="A1184" s="114" t="s">
        <v>1804</v>
      </c>
      <c r="B1184" s="114" t="s">
        <v>1739</v>
      </c>
      <c r="C1184" s="114">
        <v>2</v>
      </c>
      <c r="D1184" s="116">
        <v>0.0019246277943725174</v>
      </c>
      <c r="E1184" s="116">
        <v>1.038144394159534</v>
      </c>
      <c r="F1184" s="114" t="s">
        <v>1708</v>
      </c>
      <c r="G1184" s="114" t="b">
        <v>0</v>
      </c>
      <c r="H1184" s="114" t="b">
        <v>0</v>
      </c>
      <c r="I1184" s="114" t="b">
        <v>0</v>
      </c>
      <c r="J1184" s="114" t="b">
        <v>0</v>
      </c>
      <c r="K1184" s="114" t="b">
        <v>0</v>
      </c>
      <c r="L1184" s="114" t="b">
        <v>0</v>
      </c>
    </row>
    <row r="1185" spans="1:12" ht="15">
      <c r="A1185" s="114" t="s">
        <v>1739</v>
      </c>
      <c r="B1185" s="114" t="s">
        <v>1961</v>
      </c>
      <c r="C1185" s="114">
        <v>2</v>
      </c>
      <c r="D1185" s="116">
        <v>0.0019246277943725174</v>
      </c>
      <c r="E1185" s="116">
        <v>0.543579249158663</v>
      </c>
      <c r="F1185" s="114" t="s">
        <v>1708</v>
      </c>
      <c r="G1185" s="114" t="b">
        <v>0</v>
      </c>
      <c r="H1185" s="114" t="b">
        <v>0</v>
      </c>
      <c r="I1185" s="114" t="b">
        <v>0</v>
      </c>
      <c r="J1185" s="114" t="b">
        <v>0</v>
      </c>
      <c r="K1185" s="114" t="b">
        <v>0</v>
      </c>
      <c r="L1185" s="114" t="b">
        <v>0</v>
      </c>
    </row>
    <row r="1186" spans="1:12" ht="15">
      <c r="A1186" s="114" t="s">
        <v>1961</v>
      </c>
      <c r="B1186" s="114" t="s">
        <v>1739</v>
      </c>
      <c r="C1186" s="114">
        <v>2</v>
      </c>
      <c r="D1186" s="116">
        <v>0.0019246277943725174</v>
      </c>
      <c r="E1186" s="116">
        <v>0.5610231394398716</v>
      </c>
      <c r="F1186" s="114" t="s">
        <v>1708</v>
      </c>
      <c r="G1186" s="114" t="b">
        <v>0</v>
      </c>
      <c r="H1186" s="114" t="b">
        <v>0</v>
      </c>
      <c r="I1186" s="114" t="b">
        <v>0</v>
      </c>
      <c r="J1186" s="114" t="b">
        <v>0</v>
      </c>
      <c r="K1186" s="114" t="b">
        <v>0</v>
      </c>
      <c r="L1186" s="114" t="b">
        <v>0</v>
      </c>
    </row>
    <row r="1187" spans="1:12" ht="15">
      <c r="A1187" s="114" t="s">
        <v>1901</v>
      </c>
      <c r="B1187" s="114" t="s">
        <v>1758</v>
      </c>
      <c r="C1187" s="114">
        <v>2</v>
      </c>
      <c r="D1187" s="116">
        <v>0.0019246277943725174</v>
      </c>
      <c r="E1187" s="116">
        <v>1.3573483587521018</v>
      </c>
      <c r="F1187" s="114" t="s">
        <v>1708</v>
      </c>
      <c r="G1187" s="114" t="b">
        <v>0</v>
      </c>
      <c r="H1187" s="114" t="b">
        <v>0</v>
      </c>
      <c r="I1187" s="114" t="b">
        <v>0</v>
      </c>
      <c r="J1187" s="114" t="b">
        <v>0</v>
      </c>
      <c r="K1187" s="114" t="b">
        <v>0</v>
      </c>
      <c r="L1187" s="114" t="b">
        <v>0</v>
      </c>
    </row>
    <row r="1188" spans="1:12" ht="15">
      <c r="A1188" s="114" t="s">
        <v>1739</v>
      </c>
      <c r="B1188" s="114" t="s">
        <v>1751</v>
      </c>
      <c r="C1188" s="114">
        <v>2</v>
      </c>
      <c r="D1188" s="116">
        <v>0.0019246277943725174</v>
      </c>
      <c r="E1188" s="116">
        <v>0.6227604952062877</v>
      </c>
      <c r="F1188" s="114" t="s">
        <v>1708</v>
      </c>
      <c r="G1188" s="114" t="b">
        <v>0</v>
      </c>
      <c r="H1188" s="114" t="b">
        <v>0</v>
      </c>
      <c r="I1188" s="114" t="b">
        <v>0</v>
      </c>
      <c r="J1188" s="114" t="b">
        <v>0</v>
      </c>
      <c r="K1188" s="114" t="b">
        <v>1</v>
      </c>
      <c r="L1188" s="114" t="b">
        <v>0</v>
      </c>
    </row>
    <row r="1189" spans="1:12" ht="15">
      <c r="A1189" s="114" t="s">
        <v>1901</v>
      </c>
      <c r="B1189" s="114" t="s">
        <v>1828</v>
      </c>
      <c r="C1189" s="114">
        <v>2</v>
      </c>
      <c r="D1189" s="116">
        <v>0.0019246277943725174</v>
      </c>
      <c r="E1189" s="116">
        <v>1.3573483587521018</v>
      </c>
      <c r="F1189" s="114" t="s">
        <v>1708</v>
      </c>
      <c r="G1189" s="114" t="b">
        <v>0</v>
      </c>
      <c r="H1189" s="114" t="b">
        <v>0</v>
      </c>
      <c r="I1189" s="114" t="b">
        <v>0</v>
      </c>
      <c r="J1189" s="114" t="b">
        <v>0</v>
      </c>
      <c r="K1189" s="114" t="b">
        <v>0</v>
      </c>
      <c r="L1189" s="114" t="b">
        <v>0</v>
      </c>
    </row>
    <row r="1190" spans="1:12" ht="15">
      <c r="A1190" s="114" t="s">
        <v>1743</v>
      </c>
      <c r="B1190" s="114" t="s">
        <v>1758</v>
      </c>
      <c r="C1190" s="114">
        <v>2</v>
      </c>
      <c r="D1190" s="116">
        <v>0.0019246277943725174</v>
      </c>
      <c r="E1190" s="116">
        <v>0.4727417774541714</v>
      </c>
      <c r="F1190" s="114" t="s">
        <v>1708</v>
      </c>
      <c r="G1190" s="114" t="b">
        <v>0</v>
      </c>
      <c r="H1190" s="114" t="b">
        <v>0</v>
      </c>
      <c r="I1190" s="114" t="b">
        <v>0</v>
      </c>
      <c r="J1190" s="114" t="b">
        <v>0</v>
      </c>
      <c r="K1190" s="114" t="b">
        <v>0</v>
      </c>
      <c r="L1190" s="114" t="b">
        <v>0</v>
      </c>
    </row>
    <row r="1191" spans="1:12" ht="15">
      <c r="A1191" s="114" t="s">
        <v>1741</v>
      </c>
      <c r="B1191" s="114" t="s">
        <v>1998</v>
      </c>
      <c r="C1191" s="114">
        <v>2</v>
      </c>
      <c r="D1191" s="116">
        <v>0.0023628082829663766</v>
      </c>
      <c r="E1191" s="116">
        <v>0.9846251384330458</v>
      </c>
      <c r="F1191" s="114" t="s">
        <v>1708</v>
      </c>
      <c r="G1191" s="114" t="b">
        <v>0</v>
      </c>
      <c r="H1191" s="114" t="b">
        <v>0</v>
      </c>
      <c r="I1191" s="114" t="b">
        <v>0</v>
      </c>
      <c r="J1191" s="114" t="b">
        <v>1</v>
      </c>
      <c r="K1191" s="114" t="b">
        <v>0</v>
      </c>
      <c r="L1191" s="114" t="b">
        <v>0</v>
      </c>
    </row>
    <row r="1192" spans="1:12" ht="15">
      <c r="A1192" s="114" t="s">
        <v>1807</v>
      </c>
      <c r="B1192" s="114" t="s">
        <v>1799</v>
      </c>
      <c r="C1192" s="114">
        <v>2</v>
      </c>
      <c r="D1192" s="116">
        <v>0.0019246277943725174</v>
      </c>
      <c r="E1192" s="116">
        <v>2.6473829701146196</v>
      </c>
      <c r="F1192" s="114" t="s">
        <v>1708</v>
      </c>
      <c r="G1192" s="114" t="b">
        <v>0</v>
      </c>
      <c r="H1192" s="114" t="b">
        <v>0</v>
      </c>
      <c r="I1192" s="114" t="b">
        <v>0</v>
      </c>
      <c r="J1192" s="114" t="b">
        <v>0</v>
      </c>
      <c r="K1192" s="114" t="b">
        <v>0</v>
      </c>
      <c r="L1192" s="114" t="b">
        <v>0</v>
      </c>
    </row>
    <row r="1193" spans="1:12" ht="15">
      <c r="A1193" s="114" t="s">
        <v>1780</v>
      </c>
      <c r="B1193" s="114" t="s">
        <v>1781</v>
      </c>
      <c r="C1193" s="114">
        <v>2</v>
      </c>
      <c r="D1193" s="116">
        <v>0.0019246277943725174</v>
      </c>
      <c r="E1193" s="116">
        <v>2.823474229170301</v>
      </c>
      <c r="F1193" s="114" t="s">
        <v>1708</v>
      </c>
      <c r="G1193" s="114" t="b">
        <v>0</v>
      </c>
      <c r="H1193" s="114" t="b">
        <v>0</v>
      </c>
      <c r="I1193" s="114" t="b">
        <v>0</v>
      </c>
      <c r="J1193" s="114" t="b">
        <v>0</v>
      </c>
      <c r="K1193" s="114" t="b">
        <v>0</v>
      </c>
      <c r="L1193" s="114" t="b">
        <v>0</v>
      </c>
    </row>
    <row r="1194" spans="1:12" ht="15">
      <c r="A1194" s="114" t="s">
        <v>1856</v>
      </c>
      <c r="B1194" s="114" t="s">
        <v>1971</v>
      </c>
      <c r="C1194" s="114">
        <v>2</v>
      </c>
      <c r="D1194" s="116">
        <v>0.0019246277943725174</v>
      </c>
      <c r="E1194" s="116">
        <v>2.1702617153949575</v>
      </c>
      <c r="F1194" s="114" t="s">
        <v>1708</v>
      </c>
      <c r="G1194" s="114" t="b">
        <v>0</v>
      </c>
      <c r="H1194" s="114" t="b">
        <v>0</v>
      </c>
      <c r="I1194" s="114" t="b">
        <v>0</v>
      </c>
      <c r="J1194" s="114" t="b">
        <v>0</v>
      </c>
      <c r="K1194" s="114" t="b">
        <v>0</v>
      </c>
      <c r="L1194" s="114" t="b">
        <v>0</v>
      </c>
    </row>
    <row r="1195" spans="1:12" ht="15">
      <c r="A1195" s="114" t="s">
        <v>1971</v>
      </c>
      <c r="B1195" s="114" t="s">
        <v>1740</v>
      </c>
      <c r="C1195" s="114">
        <v>2</v>
      </c>
      <c r="D1195" s="116">
        <v>0.0019246277943725174</v>
      </c>
      <c r="E1195" s="116">
        <v>1.1095638750413457</v>
      </c>
      <c r="F1195" s="114" t="s">
        <v>1708</v>
      </c>
      <c r="G1195" s="114" t="b">
        <v>0</v>
      </c>
      <c r="H1195" s="114" t="b">
        <v>0</v>
      </c>
      <c r="I1195" s="114" t="b">
        <v>0</v>
      </c>
      <c r="J1195" s="114" t="b">
        <v>0</v>
      </c>
      <c r="K1195" s="114" t="b">
        <v>0</v>
      </c>
      <c r="L1195" s="114" t="b">
        <v>0</v>
      </c>
    </row>
    <row r="1196" spans="1:12" ht="15">
      <c r="A1196" s="114" t="s">
        <v>1740</v>
      </c>
      <c r="B1196" s="114" t="s">
        <v>1753</v>
      </c>
      <c r="C1196" s="114">
        <v>2</v>
      </c>
      <c r="D1196" s="116">
        <v>0.0019246277943725174</v>
      </c>
      <c r="E1196" s="116">
        <v>0.6835951427690645</v>
      </c>
      <c r="F1196" s="114" t="s">
        <v>1708</v>
      </c>
      <c r="G1196" s="114" t="b">
        <v>0</v>
      </c>
      <c r="H1196" s="114" t="b">
        <v>0</v>
      </c>
      <c r="I1196" s="114" t="b">
        <v>0</v>
      </c>
      <c r="J1196" s="114" t="b">
        <v>0</v>
      </c>
      <c r="K1196" s="114" t="b">
        <v>0</v>
      </c>
      <c r="L1196" s="114" t="b">
        <v>0</v>
      </c>
    </row>
    <row r="1197" spans="1:12" ht="15">
      <c r="A1197" s="114" t="s">
        <v>1753</v>
      </c>
      <c r="B1197" s="114" t="s">
        <v>1740</v>
      </c>
      <c r="C1197" s="114">
        <v>2</v>
      </c>
      <c r="D1197" s="116">
        <v>0.0019246277943725174</v>
      </c>
      <c r="E1197" s="116">
        <v>0.5075038837133833</v>
      </c>
      <c r="F1197" s="114" t="s">
        <v>1708</v>
      </c>
      <c r="G1197" s="114" t="b">
        <v>0</v>
      </c>
      <c r="H1197" s="114" t="b">
        <v>0</v>
      </c>
      <c r="I1197" s="114" t="b">
        <v>0</v>
      </c>
      <c r="J1197" s="114" t="b">
        <v>0</v>
      </c>
      <c r="K1197" s="114" t="b">
        <v>0</v>
      </c>
      <c r="L1197" s="114" t="b">
        <v>0</v>
      </c>
    </row>
    <row r="1198" spans="1:12" ht="15">
      <c r="A1198" s="114" t="s">
        <v>1740</v>
      </c>
      <c r="B1198" s="114" t="s">
        <v>2013</v>
      </c>
      <c r="C1198" s="114">
        <v>2</v>
      </c>
      <c r="D1198" s="116">
        <v>0.0019246277943725174</v>
      </c>
      <c r="E1198" s="116">
        <v>1.1095638750413457</v>
      </c>
      <c r="F1198" s="114" t="s">
        <v>1708</v>
      </c>
      <c r="G1198" s="114" t="b">
        <v>0</v>
      </c>
      <c r="H1198" s="114" t="b">
        <v>0</v>
      </c>
      <c r="I1198" s="114" t="b">
        <v>0</v>
      </c>
      <c r="J1198" s="114" t="b">
        <v>0</v>
      </c>
      <c r="K1198" s="114" t="b">
        <v>0</v>
      </c>
      <c r="L1198" s="114" t="b">
        <v>0</v>
      </c>
    </row>
    <row r="1199" spans="1:12" ht="15">
      <c r="A1199" s="114" t="s">
        <v>2013</v>
      </c>
      <c r="B1199" s="114" t="s">
        <v>1753</v>
      </c>
      <c r="C1199" s="114">
        <v>2</v>
      </c>
      <c r="D1199" s="116">
        <v>0.0019246277943725174</v>
      </c>
      <c r="E1199" s="116">
        <v>2.0453229787866576</v>
      </c>
      <c r="F1199" s="114" t="s">
        <v>1708</v>
      </c>
      <c r="G1199" s="114" t="b">
        <v>0</v>
      </c>
      <c r="H1199" s="114" t="b">
        <v>0</v>
      </c>
      <c r="I1199" s="114" t="b">
        <v>0</v>
      </c>
      <c r="J1199" s="114" t="b">
        <v>0</v>
      </c>
      <c r="K1199" s="114" t="b">
        <v>0</v>
      </c>
      <c r="L1199" s="114" t="b">
        <v>0</v>
      </c>
    </row>
    <row r="1200" spans="1:12" ht="15">
      <c r="A1200" s="114" t="s">
        <v>1856</v>
      </c>
      <c r="B1200" s="114" t="s">
        <v>1782</v>
      </c>
      <c r="C1200" s="114">
        <v>2</v>
      </c>
      <c r="D1200" s="116">
        <v>0.0019246277943725174</v>
      </c>
      <c r="E1200" s="116">
        <v>1.802284930100363</v>
      </c>
      <c r="F1200" s="114" t="s">
        <v>1708</v>
      </c>
      <c r="G1200" s="114" t="b">
        <v>0</v>
      </c>
      <c r="H1200" s="114" t="b">
        <v>0</v>
      </c>
      <c r="I1200" s="114" t="b">
        <v>0</v>
      </c>
      <c r="J1200" s="114" t="b">
        <v>0</v>
      </c>
      <c r="K1200" s="114" t="b">
        <v>0</v>
      </c>
      <c r="L1200" s="114" t="b">
        <v>0</v>
      </c>
    </row>
    <row r="1201" spans="1:12" ht="15">
      <c r="A1201" s="114" t="s">
        <v>1946</v>
      </c>
      <c r="B1201" s="114" t="s">
        <v>2084</v>
      </c>
      <c r="C1201" s="114">
        <v>2</v>
      </c>
      <c r="D1201" s="116">
        <v>0.0019246277943725174</v>
      </c>
      <c r="E1201" s="116">
        <v>2.5224442335063197</v>
      </c>
      <c r="F1201" s="114" t="s">
        <v>1708</v>
      </c>
      <c r="G1201" s="114" t="b">
        <v>0</v>
      </c>
      <c r="H1201" s="114" t="b">
        <v>0</v>
      </c>
      <c r="I1201" s="114" t="b">
        <v>0</v>
      </c>
      <c r="J1201" s="114" t="b">
        <v>0</v>
      </c>
      <c r="K1201" s="114" t="b">
        <v>0</v>
      </c>
      <c r="L1201" s="114" t="b">
        <v>0</v>
      </c>
    </row>
    <row r="1202" spans="1:12" ht="15">
      <c r="A1202" s="114" t="s">
        <v>2084</v>
      </c>
      <c r="B1202" s="114" t="s">
        <v>2085</v>
      </c>
      <c r="C1202" s="114">
        <v>2</v>
      </c>
      <c r="D1202" s="116">
        <v>0.0019246277943725174</v>
      </c>
      <c r="E1202" s="116">
        <v>2.823474229170301</v>
      </c>
      <c r="F1202" s="114" t="s">
        <v>1708</v>
      </c>
      <c r="G1202" s="114" t="b">
        <v>0</v>
      </c>
      <c r="H1202" s="114" t="b">
        <v>0</v>
      </c>
      <c r="I1202" s="114" t="b">
        <v>0</v>
      </c>
      <c r="J1202" s="114" t="b">
        <v>0</v>
      </c>
      <c r="K1202" s="114" t="b">
        <v>0</v>
      </c>
      <c r="L1202" s="114" t="b">
        <v>0</v>
      </c>
    </row>
    <row r="1203" spans="1:12" ht="15">
      <c r="A1203" s="114" t="s">
        <v>1752</v>
      </c>
      <c r="B1203" s="114" t="s">
        <v>1924</v>
      </c>
      <c r="C1203" s="114">
        <v>2</v>
      </c>
      <c r="D1203" s="116">
        <v>0.0023628082829663766</v>
      </c>
      <c r="E1203" s="116">
        <v>1.802284930100363</v>
      </c>
      <c r="F1203" s="114" t="s">
        <v>1708</v>
      </c>
      <c r="G1203" s="114" t="b">
        <v>0</v>
      </c>
      <c r="H1203" s="114" t="b">
        <v>0</v>
      </c>
      <c r="I1203" s="114" t="b">
        <v>0</v>
      </c>
      <c r="J1203" s="114" t="b">
        <v>0</v>
      </c>
      <c r="K1203" s="114" t="b">
        <v>0</v>
      </c>
      <c r="L1203" s="114" t="b">
        <v>0</v>
      </c>
    </row>
    <row r="1204" spans="1:12" ht="15">
      <c r="A1204" s="114" t="s">
        <v>1752</v>
      </c>
      <c r="B1204" s="114" t="s">
        <v>2390</v>
      </c>
      <c r="C1204" s="114">
        <v>2</v>
      </c>
      <c r="D1204" s="116">
        <v>0.0023628082829663766</v>
      </c>
      <c r="E1204" s="116">
        <v>1.9783761891560443</v>
      </c>
      <c r="F1204" s="114" t="s">
        <v>1708</v>
      </c>
      <c r="G1204" s="114" t="b">
        <v>0</v>
      </c>
      <c r="H1204" s="114" t="b">
        <v>0</v>
      </c>
      <c r="I1204" s="114" t="b">
        <v>0</v>
      </c>
      <c r="J1204" s="114" t="b">
        <v>0</v>
      </c>
      <c r="K1204" s="114" t="b">
        <v>0</v>
      </c>
      <c r="L1204" s="114" t="b">
        <v>0</v>
      </c>
    </row>
    <row r="1205" spans="1:12" ht="15">
      <c r="A1205" s="114" t="s">
        <v>2387</v>
      </c>
      <c r="B1205" s="114" t="s">
        <v>2388</v>
      </c>
      <c r="C1205" s="114">
        <v>2</v>
      </c>
      <c r="D1205" s="116">
        <v>0.0023628082829663766</v>
      </c>
      <c r="E1205" s="116">
        <v>2.823474229170301</v>
      </c>
      <c r="F1205" s="114" t="s">
        <v>1708</v>
      </c>
      <c r="G1205" s="114" t="b">
        <v>0</v>
      </c>
      <c r="H1205" s="114" t="b">
        <v>0</v>
      </c>
      <c r="I1205" s="114" t="b">
        <v>0</v>
      </c>
      <c r="J1205" s="114" t="b">
        <v>0</v>
      </c>
      <c r="K1205" s="114" t="b">
        <v>0</v>
      </c>
      <c r="L1205" s="114" t="b">
        <v>0</v>
      </c>
    </row>
    <row r="1206" spans="1:12" ht="15">
      <c r="A1206" s="114" t="s">
        <v>2069</v>
      </c>
      <c r="B1206" s="114" t="s">
        <v>2070</v>
      </c>
      <c r="C1206" s="114">
        <v>2</v>
      </c>
      <c r="D1206" s="116">
        <v>0.0019246277943725174</v>
      </c>
      <c r="E1206" s="116">
        <v>2.823474229170301</v>
      </c>
      <c r="F1206" s="114" t="s">
        <v>1708</v>
      </c>
      <c r="G1206" s="114" t="b">
        <v>0</v>
      </c>
      <c r="H1206" s="114" t="b">
        <v>0</v>
      </c>
      <c r="I1206" s="114" t="b">
        <v>0</v>
      </c>
      <c r="J1206" s="114" t="b">
        <v>0</v>
      </c>
      <c r="K1206" s="114" t="b">
        <v>0</v>
      </c>
      <c r="L1206" s="114" t="b">
        <v>0</v>
      </c>
    </row>
    <row r="1207" spans="1:12" ht="15">
      <c r="A1207" s="114" t="s">
        <v>2070</v>
      </c>
      <c r="B1207" s="114" t="s">
        <v>2071</v>
      </c>
      <c r="C1207" s="114">
        <v>2</v>
      </c>
      <c r="D1207" s="116">
        <v>0.0019246277943725174</v>
      </c>
      <c r="E1207" s="116">
        <v>2.823474229170301</v>
      </c>
      <c r="F1207" s="114" t="s">
        <v>1708</v>
      </c>
      <c r="G1207" s="114" t="b">
        <v>0</v>
      </c>
      <c r="H1207" s="114" t="b">
        <v>0</v>
      </c>
      <c r="I1207" s="114" t="b">
        <v>0</v>
      </c>
      <c r="J1207" s="114" t="b">
        <v>0</v>
      </c>
      <c r="K1207" s="114" t="b">
        <v>0</v>
      </c>
      <c r="L1207" s="114" t="b">
        <v>0</v>
      </c>
    </row>
    <row r="1208" spans="1:12" ht="15">
      <c r="A1208" s="114" t="s">
        <v>2071</v>
      </c>
      <c r="B1208" s="114" t="s">
        <v>1747</v>
      </c>
      <c r="C1208" s="114">
        <v>2</v>
      </c>
      <c r="D1208" s="116">
        <v>0.0019246277943725174</v>
      </c>
      <c r="E1208" s="116">
        <v>1.9783761891560443</v>
      </c>
      <c r="F1208" s="114" t="s">
        <v>1708</v>
      </c>
      <c r="G1208" s="114" t="b">
        <v>0</v>
      </c>
      <c r="H1208" s="114" t="b">
        <v>0</v>
      </c>
      <c r="I1208" s="114" t="b">
        <v>0</v>
      </c>
      <c r="J1208" s="114" t="b">
        <v>0</v>
      </c>
      <c r="K1208" s="114" t="b">
        <v>0</v>
      </c>
      <c r="L1208" s="114" t="b">
        <v>0</v>
      </c>
    </row>
    <row r="1209" spans="1:12" ht="15">
      <c r="A1209" s="114" t="s">
        <v>1747</v>
      </c>
      <c r="B1209" s="114" t="s">
        <v>1800</v>
      </c>
      <c r="C1209" s="114">
        <v>2</v>
      </c>
      <c r="D1209" s="116">
        <v>0.0019246277943725174</v>
      </c>
      <c r="E1209" s="116">
        <v>1.5334396178077832</v>
      </c>
      <c r="F1209" s="114" t="s">
        <v>1708</v>
      </c>
      <c r="G1209" s="114" t="b">
        <v>0</v>
      </c>
      <c r="H1209" s="114" t="b">
        <v>0</v>
      </c>
      <c r="I1209" s="114" t="b">
        <v>0</v>
      </c>
      <c r="J1209" s="114" t="b">
        <v>0</v>
      </c>
      <c r="K1209" s="114" t="b">
        <v>0</v>
      </c>
      <c r="L1209" s="114" t="b">
        <v>0</v>
      </c>
    </row>
    <row r="1210" spans="1:12" ht="15">
      <c r="A1210" s="114" t="s">
        <v>1800</v>
      </c>
      <c r="B1210" s="114" t="s">
        <v>1878</v>
      </c>
      <c r="C1210" s="114">
        <v>2</v>
      </c>
      <c r="D1210" s="116">
        <v>0.0019246277943725174</v>
      </c>
      <c r="E1210" s="116">
        <v>2.0453229787866576</v>
      </c>
      <c r="F1210" s="114" t="s">
        <v>1708</v>
      </c>
      <c r="G1210" s="114" t="b">
        <v>0</v>
      </c>
      <c r="H1210" s="114" t="b">
        <v>0</v>
      </c>
      <c r="I1210" s="114" t="b">
        <v>0</v>
      </c>
      <c r="J1210" s="114" t="b">
        <v>0</v>
      </c>
      <c r="K1210" s="114" t="b">
        <v>0</v>
      </c>
      <c r="L1210" s="114" t="b">
        <v>0</v>
      </c>
    </row>
    <row r="1211" spans="1:12" ht="15">
      <c r="A1211" s="114" t="s">
        <v>1878</v>
      </c>
      <c r="B1211" s="114" t="s">
        <v>1821</v>
      </c>
      <c r="C1211" s="114">
        <v>2</v>
      </c>
      <c r="D1211" s="116">
        <v>0.0019246277943725174</v>
      </c>
      <c r="E1211" s="116">
        <v>2.1245042248342823</v>
      </c>
      <c r="F1211" s="114" t="s">
        <v>1708</v>
      </c>
      <c r="G1211" s="114" t="b">
        <v>0</v>
      </c>
      <c r="H1211" s="114" t="b">
        <v>0</v>
      </c>
      <c r="I1211" s="114" t="b">
        <v>0</v>
      </c>
      <c r="J1211" s="114" t="b">
        <v>0</v>
      </c>
      <c r="K1211" s="114" t="b">
        <v>0</v>
      </c>
      <c r="L1211" s="114" t="b">
        <v>0</v>
      </c>
    </row>
    <row r="1212" spans="1:12" ht="15">
      <c r="A1212" s="114" t="s">
        <v>1821</v>
      </c>
      <c r="B1212" s="114" t="s">
        <v>2004</v>
      </c>
      <c r="C1212" s="114">
        <v>2</v>
      </c>
      <c r="D1212" s="116">
        <v>0.0019246277943725174</v>
      </c>
      <c r="E1212" s="116">
        <v>2.249442961442582</v>
      </c>
      <c r="F1212" s="114" t="s">
        <v>1708</v>
      </c>
      <c r="G1212" s="114" t="b">
        <v>0</v>
      </c>
      <c r="H1212" s="114" t="b">
        <v>0</v>
      </c>
      <c r="I1212" s="114" t="b">
        <v>0</v>
      </c>
      <c r="J1212" s="114" t="b">
        <v>0</v>
      </c>
      <c r="K1212" s="114" t="b">
        <v>0</v>
      </c>
      <c r="L1212" s="114" t="b">
        <v>0</v>
      </c>
    </row>
    <row r="1213" spans="1:12" ht="15">
      <c r="A1213" s="114" t="s">
        <v>2004</v>
      </c>
      <c r="B1213" s="114" t="s">
        <v>1793</v>
      </c>
      <c r="C1213" s="114">
        <v>2</v>
      </c>
      <c r="D1213" s="116">
        <v>0.0019246277943725174</v>
      </c>
      <c r="E1213" s="116">
        <v>2.346352974450639</v>
      </c>
      <c r="F1213" s="114" t="s">
        <v>1708</v>
      </c>
      <c r="G1213" s="114" t="b">
        <v>0</v>
      </c>
      <c r="H1213" s="114" t="b">
        <v>0</v>
      </c>
      <c r="I1213" s="114" t="b">
        <v>0</v>
      </c>
      <c r="J1213" s="114" t="b">
        <v>0</v>
      </c>
      <c r="K1213" s="114" t="b">
        <v>0</v>
      </c>
      <c r="L1213" s="114" t="b">
        <v>0</v>
      </c>
    </row>
    <row r="1214" spans="1:12" ht="15">
      <c r="A1214" s="114" t="s">
        <v>1793</v>
      </c>
      <c r="B1214" s="114" t="s">
        <v>1817</v>
      </c>
      <c r="C1214" s="114">
        <v>2</v>
      </c>
      <c r="D1214" s="116">
        <v>0.0019246277943725174</v>
      </c>
      <c r="E1214" s="116">
        <v>2.346352974450639</v>
      </c>
      <c r="F1214" s="114" t="s">
        <v>1708</v>
      </c>
      <c r="G1214" s="114" t="b">
        <v>0</v>
      </c>
      <c r="H1214" s="114" t="b">
        <v>0</v>
      </c>
      <c r="I1214" s="114" t="b">
        <v>0</v>
      </c>
      <c r="J1214" s="114" t="b">
        <v>0</v>
      </c>
      <c r="K1214" s="114" t="b">
        <v>0</v>
      </c>
      <c r="L1214" s="114" t="b">
        <v>0</v>
      </c>
    </row>
    <row r="1215" spans="1:12" ht="15">
      <c r="A1215" s="114" t="s">
        <v>1817</v>
      </c>
      <c r="B1215" s="114" t="s">
        <v>1793</v>
      </c>
      <c r="C1215" s="114">
        <v>2</v>
      </c>
      <c r="D1215" s="116">
        <v>0.0019246277943725174</v>
      </c>
      <c r="E1215" s="116">
        <v>2.346352974450639</v>
      </c>
      <c r="F1215" s="114" t="s">
        <v>1708</v>
      </c>
      <c r="G1215" s="114" t="b">
        <v>0</v>
      </c>
      <c r="H1215" s="114" t="b">
        <v>0</v>
      </c>
      <c r="I1215" s="114" t="b">
        <v>0</v>
      </c>
      <c r="J1215" s="114" t="b">
        <v>0</v>
      </c>
      <c r="K1215" s="114" t="b">
        <v>0</v>
      </c>
      <c r="L1215" s="114" t="b">
        <v>0</v>
      </c>
    </row>
    <row r="1216" spans="1:12" ht="15">
      <c r="A1216" s="114" t="s">
        <v>1793</v>
      </c>
      <c r="B1216" s="114" t="s">
        <v>2072</v>
      </c>
      <c r="C1216" s="114">
        <v>2</v>
      </c>
      <c r="D1216" s="116">
        <v>0.0019246277943725174</v>
      </c>
      <c r="E1216" s="116">
        <v>2.5224442335063197</v>
      </c>
      <c r="F1216" s="114" t="s">
        <v>1708</v>
      </c>
      <c r="G1216" s="114" t="b">
        <v>0</v>
      </c>
      <c r="H1216" s="114" t="b">
        <v>0</v>
      </c>
      <c r="I1216" s="114" t="b">
        <v>0</v>
      </c>
      <c r="J1216" s="114" t="b">
        <v>0</v>
      </c>
      <c r="K1216" s="114" t="b">
        <v>0</v>
      </c>
      <c r="L1216" s="114" t="b">
        <v>0</v>
      </c>
    </row>
    <row r="1217" spans="1:12" ht="15">
      <c r="A1217" s="114" t="s">
        <v>2072</v>
      </c>
      <c r="B1217" s="114" t="s">
        <v>2073</v>
      </c>
      <c r="C1217" s="114">
        <v>2</v>
      </c>
      <c r="D1217" s="116">
        <v>0.0019246277943725174</v>
      </c>
      <c r="E1217" s="116">
        <v>2.823474229170301</v>
      </c>
      <c r="F1217" s="114" t="s">
        <v>1708</v>
      </c>
      <c r="G1217" s="114" t="b">
        <v>0</v>
      </c>
      <c r="H1217" s="114" t="b">
        <v>0</v>
      </c>
      <c r="I1217" s="114" t="b">
        <v>0</v>
      </c>
      <c r="J1217" s="114" t="b">
        <v>0</v>
      </c>
      <c r="K1217" s="114" t="b">
        <v>0</v>
      </c>
      <c r="L1217" s="114" t="b">
        <v>0</v>
      </c>
    </row>
    <row r="1218" spans="1:12" ht="15">
      <c r="A1218" s="114" t="s">
        <v>2073</v>
      </c>
      <c r="B1218" s="114" t="s">
        <v>1838</v>
      </c>
      <c r="C1218" s="114">
        <v>2</v>
      </c>
      <c r="D1218" s="116">
        <v>0.0019246277943725174</v>
      </c>
      <c r="E1218" s="116">
        <v>2.4255342204982635</v>
      </c>
      <c r="F1218" s="114" t="s">
        <v>1708</v>
      </c>
      <c r="G1218" s="114" t="b">
        <v>0</v>
      </c>
      <c r="H1218" s="114" t="b">
        <v>0</v>
      </c>
      <c r="I1218" s="114" t="b">
        <v>0</v>
      </c>
      <c r="J1218" s="114" t="b">
        <v>0</v>
      </c>
      <c r="K1218" s="114" t="b">
        <v>0</v>
      </c>
      <c r="L1218" s="114" t="b">
        <v>0</v>
      </c>
    </row>
    <row r="1219" spans="1:12" ht="15">
      <c r="A1219" s="114" t="s">
        <v>1838</v>
      </c>
      <c r="B1219" s="114" t="s">
        <v>1878</v>
      </c>
      <c r="C1219" s="114">
        <v>2</v>
      </c>
      <c r="D1219" s="116">
        <v>0.0019246277943725174</v>
      </c>
      <c r="E1219" s="116">
        <v>2.1245042248342823</v>
      </c>
      <c r="F1219" s="114" t="s">
        <v>1708</v>
      </c>
      <c r="G1219" s="114" t="b">
        <v>0</v>
      </c>
      <c r="H1219" s="114" t="b">
        <v>0</v>
      </c>
      <c r="I1219" s="114" t="b">
        <v>0</v>
      </c>
      <c r="J1219" s="114" t="b">
        <v>0</v>
      </c>
      <c r="K1219" s="114" t="b">
        <v>0</v>
      </c>
      <c r="L1219" s="114" t="b">
        <v>0</v>
      </c>
    </row>
    <row r="1220" spans="1:12" ht="15">
      <c r="A1220" s="114" t="s">
        <v>1878</v>
      </c>
      <c r="B1220" s="114" t="s">
        <v>1838</v>
      </c>
      <c r="C1220" s="114">
        <v>2</v>
      </c>
      <c r="D1220" s="116">
        <v>0.0019246277943725174</v>
      </c>
      <c r="E1220" s="116">
        <v>2.1245042248342823</v>
      </c>
      <c r="F1220" s="114" t="s">
        <v>1708</v>
      </c>
      <c r="G1220" s="114" t="b">
        <v>0</v>
      </c>
      <c r="H1220" s="114" t="b">
        <v>0</v>
      </c>
      <c r="I1220" s="114" t="b">
        <v>0</v>
      </c>
      <c r="J1220" s="114" t="b">
        <v>0</v>
      </c>
      <c r="K1220" s="114" t="b">
        <v>0</v>
      </c>
      <c r="L1220" s="114" t="b">
        <v>0</v>
      </c>
    </row>
    <row r="1221" spans="1:12" ht="15">
      <c r="A1221" s="114" t="s">
        <v>1838</v>
      </c>
      <c r="B1221" s="114" t="s">
        <v>1994</v>
      </c>
      <c r="C1221" s="114">
        <v>2</v>
      </c>
      <c r="D1221" s="116">
        <v>0.0019246277943725174</v>
      </c>
      <c r="E1221" s="116">
        <v>2.4255342204982635</v>
      </c>
      <c r="F1221" s="114" t="s">
        <v>1708</v>
      </c>
      <c r="G1221" s="114" t="b">
        <v>0</v>
      </c>
      <c r="H1221" s="114" t="b">
        <v>0</v>
      </c>
      <c r="I1221" s="114" t="b">
        <v>0</v>
      </c>
      <c r="J1221" s="114" t="b">
        <v>0</v>
      </c>
      <c r="K1221" s="114" t="b">
        <v>0</v>
      </c>
      <c r="L1221" s="114" t="b">
        <v>0</v>
      </c>
    </row>
    <row r="1222" spans="1:12" ht="15">
      <c r="A1222" s="114" t="s">
        <v>1823</v>
      </c>
      <c r="B1222" s="114" t="s">
        <v>1740</v>
      </c>
      <c r="C1222" s="114">
        <v>2</v>
      </c>
      <c r="D1222" s="116">
        <v>0.0019246277943725174</v>
      </c>
      <c r="E1222" s="116">
        <v>0.9846251384330458</v>
      </c>
      <c r="F1222" s="114" t="s">
        <v>1708</v>
      </c>
      <c r="G1222" s="114" t="b">
        <v>0</v>
      </c>
      <c r="H1222" s="114" t="b">
        <v>0</v>
      </c>
      <c r="I1222" s="114" t="b">
        <v>0</v>
      </c>
      <c r="J1222" s="114" t="b">
        <v>0</v>
      </c>
      <c r="K1222" s="114" t="b">
        <v>0</v>
      </c>
      <c r="L1222" s="114" t="b">
        <v>0</v>
      </c>
    </row>
    <row r="1223" spans="1:12" ht="15">
      <c r="A1223" s="114" t="s">
        <v>1758</v>
      </c>
      <c r="B1223" s="114" t="s">
        <v>1918</v>
      </c>
      <c r="C1223" s="114">
        <v>2</v>
      </c>
      <c r="D1223" s="116">
        <v>0.0019246277943725174</v>
      </c>
      <c r="E1223" s="116">
        <v>2.0105608725274453</v>
      </c>
      <c r="F1223" s="114" t="s">
        <v>1708</v>
      </c>
      <c r="G1223" s="114" t="b">
        <v>0</v>
      </c>
      <c r="H1223" s="114" t="b">
        <v>0</v>
      </c>
      <c r="I1223" s="114" t="b">
        <v>0</v>
      </c>
      <c r="J1223" s="114" t="b">
        <v>0</v>
      </c>
      <c r="K1223" s="114" t="b">
        <v>0</v>
      </c>
      <c r="L1223" s="114" t="b">
        <v>0</v>
      </c>
    </row>
    <row r="1224" spans="1:12" ht="15">
      <c r="A1224" s="114" t="s">
        <v>1915</v>
      </c>
      <c r="B1224" s="114" t="s">
        <v>1915</v>
      </c>
      <c r="C1224" s="114">
        <v>2</v>
      </c>
      <c r="D1224" s="116">
        <v>0.0023628082829663766</v>
      </c>
      <c r="E1224" s="116">
        <v>2.4712917110589387</v>
      </c>
      <c r="F1224" s="114" t="s">
        <v>1708</v>
      </c>
      <c r="G1224" s="114" t="b">
        <v>0</v>
      </c>
      <c r="H1224" s="114" t="b">
        <v>0</v>
      </c>
      <c r="I1224" s="114" t="b">
        <v>0</v>
      </c>
      <c r="J1224" s="114" t="b">
        <v>0</v>
      </c>
      <c r="K1224" s="114" t="b">
        <v>0</v>
      </c>
      <c r="L1224" s="114" t="b">
        <v>0</v>
      </c>
    </row>
    <row r="1225" spans="1:12" ht="15">
      <c r="A1225" s="114" t="s">
        <v>1741</v>
      </c>
      <c r="B1225" s="114" t="s">
        <v>1783</v>
      </c>
      <c r="C1225" s="114">
        <v>2</v>
      </c>
      <c r="D1225" s="116">
        <v>0.0019246277943725174</v>
      </c>
      <c r="E1225" s="116">
        <v>0.3825651471050834</v>
      </c>
      <c r="F1225" s="114" t="s">
        <v>1708</v>
      </c>
      <c r="G1225" s="114" t="b">
        <v>0</v>
      </c>
      <c r="H1225" s="114" t="b">
        <v>0</v>
      </c>
      <c r="I1225" s="114" t="b">
        <v>0</v>
      </c>
      <c r="J1225" s="114" t="b">
        <v>0</v>
      </c>
      <c r="K1225" s="114" t="b">
        <v>0</v>
      </c>
      <c r="L1225" s="114" t="b">
        <v>0</v>
      </c>
    </row>
    <row r="1226" spans="1:12" ht="15">
      <c r="A1226" s="114" t="s">
        <v>1782</v>
      </c>
      <c r="B1226" s="114" t="s">
        <v>1741</v>
      </c>
      <c r="C1226" s="114">
        <v>2</v>
      </c>
      <c r="D1226" s="116">
        <v>0.0019246277943725174</v>
      </c>
      <c r="E1226" s="116">
        <v>0.7078637174960013</v>
      </c>
      <c r="F1226" s="114" t="s">
        <v>1708</v>
      </c>
      <c r="G1226" s="114" t="b">
        <v>0</v>
      </c>
      <c r="H1226" s="114" t="b">
        <v>0</v>
      </c>
      <c r="I1226" s="114" t="b">
        <v>0</v>
      </c>
      <c r="J1226" s="114" t="b">
        <v>0</v>
      </c>
      <c r="K1226" s="114" t="b">
        <v>0</v>
      </c>
      <c r="L1226" s="114" t="b">
        <v>0</v>
      </c>
    </row>
    <row r="1227" spans="1:12" ht="15">
      <c r="A1227" s="114" t="s">
        <v>2012</v>
      </c>
      <c r="B1227" s="114" t="s">
        <v>1760</v>
      </c>
      <c r="C1227" s="114">
        <v>2</v>
      </c>
      <c r="D1227" s="116">
        <v>0.0023628082829663766</v>
      </c>
      <c r="E1227" s="116">
        <v>1.4043449214283255</v>
      </c>
      <c r="F1227" s="114" t="s">
        <v>1708</v>
      </c>
      <c r="G1227" s="114" t="b">
        <v>0</v>
      </c>
      <c r="H1227" s="114" t="b">
        <v>0</v>
      </c>
      <c r="I1227" s="114" t="b">
        <v>0</v>
      </c>
      <c r="J1227" s="114" t="b">
        <v>0</v>
      </c>
      <c r="K1227" s="114" t="b">
        <v>0</v>
      </c>
      <c r="L1227" s="114" t="b">
        <v>0</v>
      </c>
    </row>
    <row r="1228" spans="1:12" ht="15">
      <c r="A1228" s="114" t="s">
        <v>1739</v>
      </c>
      <c r="B1228" s="114" t="s">
        <v>1783</v>
      </c>
      <c r="C1228" s="114">
        <v>2</v>
      </c>
      <c r="D1228" s="116">
        <v>0.0019246277943725174</v>
      </c>
      <c r="E1228" s="116">
        <v>0.24254925349468176</v>
      </c>
      <c r="F1228" s="114" t="s">
        <v>1708</v>
      </c>
      <c r="G1228" s="114" t="b">
        <v>0</v>
      </c>
      <c r="H1228" s="114" t="b">
        <v>0</v>
      </c>
      <c r="I1228" s="114" t="b">
        <v>0</v>
      </c>
      <c r="J1228" s="114" t="b">
        <v>0</v>
      </c>
      <c r="K1228" s="114" t="b">
        <v>0</v>
      </c>
      <c r="L1228" s="114" t="b">
        <v>0</v>
      </c>
    </row>
    <row r="1229" spans="1:12" ht="15">
      <c r="A1229" s="114" t="s">
        <v>1743</v>
      </c>
      <c r="B1229" s="114" t="s">
        <v>1970</v>
      </c>
      <c r="C1229" s="114">
        <v>2</v>
      </c>
      <c r="D1229" s="116">
        <v>0.0023628082829663766</v>
      </c>
      <c r="E1229" s="116">
        <v>0.8085338793773645</v>
      </c>
      <c r="F1229" s="114" t="s">
        <v>1708</v>
      </c>
      <c r="G1229" s="114" t="b">
        <v>0</v>
      </c>
      <c r="H1229" s="114" t="b">
        <v>0</v>
      </c>
      <c r="I1229" s="114" t="b">
        <v>0</v>
      </c>
      <c r="J1229" s="114" t="b">
        <v>0</v>
      </c>
      <c r="K1229" s="114" t="b">
        <v>0</v>
      </c>
      <c r="L1229" s="114" t="b">
        <v>0</v>
      </c>
    </row>
    <row r="1230" spans="1:12" ht="15">
      <c r="A1230" s="114" t="s">
        <v>2143</v>
      </c>
      <c r="B1230" s="114" t="s">
        <v>1851</v>
      </c>
      <c r="C1230" s="114">
        <v>2</v>
      </c>
      <c r="D1230" s="116">
        <v>0.0023628082829663766</v>
      </c>
      <c r="E1230" s="116">
        <v>2.0453229787866576</v>
      </c>
      <c r="F1230" s="114" t="s">
        <v>1708</v>
      </c>
      <c r="G1230" s="114" t="b">
        <v>0</v>
      </c>
      <c r="H1230" s="114" t="b">
        <v>0</v>
      </c>
      <c r="I1230" s="114" t="b">
        <v>0</v>
      </c>
      <c r="J1230" s="114" t="b">
        <v>0</v>
      </c>
      <c r="K1230" s="114" t="b">
        <v>0</v>
      </c>
      <c r="L1230" s="114" t="b">
        <v>0</v>
      </c>
    </row>
    <row r="1231" spans="1:12" ht="15">
      <c r="A1231" s="114" t="s">
        <v>1851</v>
      </c>
      <c r="B1231" s="114" t="s">
        <v>1874</v>
      </c>
      <c r="C1231" s="114">
        <v>2</v>
      </c>
      <c r="D1231" s="116">
        <v>0.0023628082829663766</v>
      </c>
      <c r="E1231" s="116">
        <v>1.568201724066995</v>
      </c>
      <c r="F1231" s="114" t="s">
        <v>1708</v>
      </c>
      <c r="G1231" s="114" t="b">
        <v>0</v>
      </c>
      <c r="H1231" s="114" t="b">
        <v>0</v>
      </c>
      <c r="I1231" s="114" t="b">
        <v>0</v>
      </c>
      <c r="J1231" s="114" t="b">
        <v>0</v>
      </c>
      <c r="K1231" s="114" t="b">
        <v>0</v>
      </c>
      <c r="L1231" s="114" t="b">
        <v>0</v>
      </c>
    </row>
    <row r="1232" spans="1:12" ht="15">
      <c r="A1232" s="114" t="s">
        <v>1851</v>
      </c>
      <c r="B1232" s="114" t="s">
        <v>1741</v>
      </c>
      <c r="C1232" s="114">
        <v>2</v>
      </c>
      <c r="D1232" s="116">
        <v>0.0023628082829663766</v>
      </c>
      <c r="E1232" s="116">
        <v>0.5829249808877013</v>
      </c>
      <c r="F1232" s="114" t="s">
        <v>1708</v>
      </c>
      <c r="G1232" s="114" t="b">
        <v>0</v>
      </c>
      <c r="H1232" s="114" t="b">
        <v>0</v>
      </c>
      <c r="I1232" s="114" t="b">
        <v>0</v>
      </c>
      <c r="J1232" s="114" t="b">
        <v>0</v>
      </c>
      <c r="K1232" s="114" t="b">
        <v>0</v>
      </c>
      <c r="L1232" s="114" t="b">
        <v>0</v>
      </c>
    </row>
    <row r="1233" spans="1:12" ht="15">
      <c r="A1233" s="114" t="s">
        <v>1741</v>
      </c>
      <c r="B1233" s="114" t="s">
        <v>1961</v>
      </c>
      <c r="C1233" s="114">
        <v>2</v>
      </c>
      <c r="D1233" s="116">
        <v>0.0023628082829663766</v>
      </c>
      <c r="E1233" s="116">
        <v>0.6835951427690645</v>
      </c>
      <c r="F1233" s="114" t="s">
        <v>1708</v>
      </c>
      <c r="G1233" s="114" t="b">
        <v>0</v>
      </c>
      <c r="H1233" s="114" t="b">
        <v>0</v>
      </c>
      <c r="I1233" s="114" t="b">
        <v>0</v>
      </c>
      <c r="J1233" s="114" t="b">
        <v>0</v>
      </c>
      <c r="K1233" s="114" t="b">
        <v>0</v>
      </c>
      <c r="L1233" s="114" t="b">
        <v>0</v>
      </c>
    </row>
    <row r="1234" spans="1:12" ht="15">
      <c r="A1234" s="114" t="s">
        <v>1741</v>
      </c>
      <c r="B1234" s="114" t="s">
        <v>1741</v>
      </c>
      <c r="C1234" s="114">
        <v>2</v>
      </c>
      <c r="D1234" s="116">
        <v>0.0023628082829663766</v>
      </c>
      <c r="E1234" s="116">
        <v>-0.47777285946591036</v>
      </c>
      <c r="F1234" s="114" t="s">
        <v>1708</v>
      </c>
      <c r="G1234" s="114" t="b">
        <v>0</v>
      </c>
      <c r="H1234" s="114" t="b">
        <v>0</v>
      </c>
      <c r="I1234" s="114" t="b">
        <v>0</v>
      </c>
      <c r="J1234" s="114" t="b">
        <v>0</v>
      </c>
      <c r="K1234" s="114" t="b">
        <v>0</v>
      </c>
      <c r="L1234" s="114" t="b">
        <v>0</v>
      </c>
    </row>
    <row r="1235" spans="1:12" ht="15">
      <c r="A1235" s="114" t="s">
        <v>1783</v>
      </c>
      <c r="B1235" s="114" t="s">
        <v>1782</v>
      </c>
      <c r="C1235" s="114">
        <v>2</v>
      </c>
      <c r="D1235" s="116">
        <v>0.0023628082829663766</v>
      </c>
      <c r="E1235" s="116">
        <v>1.4664928281771699</v>
      </c>
      <c r="F1235" s="114" t="s">
        <v>1708</v>
      </c>
      <c r="G1235" s="114" t="b">
        <v>0</v>
      </c>
      <c r="H1235" s="114" t="b">
        <v>0</v>
      </c>
      <c r="I1235" s="114" t="b">
        <v>0</v>
      </c>
      <c r="J1235" s="114" t="b">
        <v>0</v>
      </c>
      <c r="K1235" s="114" t="b">
        <v>0</v>
      </c>
      <c r="L1235" s="114" t="b">
        <v>0</v>
      </c>
    </row>
    <row r="1236" spans="1:12" ht="15">
      <c r="A1236" s="114" t="s">
        <v>1760</v>
      </c>
      <c r="B1236" s="114" t="s">
        <v>1739</v>
      </c>
      <c r="C1236" s="114">
        <v>2</v>
      </c>
      <c r="D1236" s="116">
        <v>0.0023628082829663766</v>
      </c>
      <c r="E1236" s="116">
        <v>0.03814439415953402</v>
      </c>
      <c r="F1236" s="114" t="s">
        <v>1708</v>
      </c>
      <c r="G1236" s="114" t="b">
        <v>0</v>
      </c>
      <c r="H1236" s="114" t="b">
        <v>0</v>
      </c>
      <c r="I1236" s="114" t="b">
        <v>0</v>
      </c>
      <c r="J1236" s="114" t="b">
        <v>0</v>
      </c>
      <c r="K1236" s="114" t="b">
        <v>0</v>
      </c>
      <c r="L1236" s="114" t="b">
        <v>0</v>
      </c>
    </row>
    <row r="1237" spans="1:12" ht="15">
      <c r="A1237" s="114" t="s">
        <v>1874</v>
      </c>
      <c r="B1237" s="114" t="s">
        <v>1741</v>
      </c>
      <c r="C1237" s="114">
        <v>2</v>
      </c>
      <c r="D1237" s="116">
        <v>0.0023628082829663766</v>
      </c>
      <c r="E1237" s="116">
        <v>0.5829249808877013</v>
      </c>
      <c r="F1237" s="114" t="s">
        <v>1708</v>
      </c>
      <c r="G1237" s="114" t="b">
        <v>0</v>
      </c>
      <c r="H1237" s="114" t="b">
        <v>0</v>
      </c>
      <c r="I1237" s="114" t="b">
        <v>0</v>
      </c>
      <c r="J1237" s="114" t="b">
        <v>0</v>
      </c>
      <c r="K1237" s="114" t="b">
        <v>0</v>
      </c>
      <c r="L1237" s="114" t="b">
        <v>0</v>
      </c>
    </row>
    <row r="1238" spans="1:12" ht="15">
      <c r="A1238" s="114" t="s">
        <v>1792</v>
      </c>
      <c r="B1238" s="114" t="s">
        <v>1757</v>
      </c>
      <c r="C1238" s="114">
        <v>2</v>
      </c>
      <c r="D1238" s="116">
        <v>0.0019246277943725174</v>
      </c>
      <c r="E1238" s="116">
        <v>1.8814661761479878</v>
      </c>
      <c r="F1238" s="114" t="s">
        <v>1708</v>
      </c>
      <c r="G1238" s="114" t="b">
        <v>0</v>
      </c>
      <c r="H1238" s="114" t="b">
        <v>0</v>
      </c>
      <c r="I1238" s="114" t="b">
        <v>0</v>
      </c>
      <c r="J1238" s="114" t="b">
        <v>0</v>
      </c>
      <c r="K1238" s="114" t="b">
        <v>0</v>
      </c>
      <c r="L1238" s="114" t="b">
        <v>0</v>
      </c>
    </row>
    <row r="1239" spans="1:12" ht="15">
      <c r="A1239" s="114" t="s">
        <v>1757</v>
      </c>
      <c r="B1239" s="114" t="s">
        <v>1757</v>
      </c>
      <c r="C1239" s="114">
        <v>2</v>
      </c>
      <c r="D1239" s="116">
        <v>0.0019246277943725174</v>
      </c>
      <c r="E1239" s="116">
        <v>1.7353381404697497</v>
      </c>
      <c r="F1239" s="114" t="s">
        <v>1708</v>
      </c>
      <c r="G1239" s="114" t="b">
        <v>0</v>
      </c>
      <c r="H1239" s="114" t="b">
        <v>0</v>
      </c>
      <c r="I1239" s="114" t="b">
        <v>0</v>
      </c>
      <c r="J1239" s="114" t="b">
        <v>0</v>
      </c>
      <c r="K1239" s="114" t="b">
        <v>0</v>
      </c>
      <c r="L1239" s="114" t="b">
        <v>0</v>
      </c>
    </row>
    <row r="1240" spans="1:12" ht="15">
      <c r="A1240" s="114" t="s">
        <v>1792</v>
      </c>
      <c r="B1240" s="114" t="s">
        <v>1740</v>
      </c>
      <c r="C1240" s="114">
        <v>2</v>
      </c>
      <c r="D1240" s="116">
        <v>0.0019246277943725174</v>
      </c>
      <c r="E1240" s="116">
        <v>0.8877151254249893</v>
      </c>
      <c r="F1240" s="114" t="s">
        <v>1708</v>
      </c>
      <c r="G1240" s="114" t="b">
        <v>0</v>
      </c>
      <c r="H1240" s="114" t="b">
        <v>0</v>
      </c>
      <c r="I1240" s="114" t="b">
        <v>0</v>
      </c>
      <c r="J1240" s="114" t="b">
        <v>0</v>
      </c>
      <c r="K1240" s="114" t="b">
        <v>0</v>
      </c>
      <c r="L1240" s="114" t="b">
        <v>0</v>
      </c>
    </row>
    <row r="1241" spans="1:12" ht="15">
      <c r="A1241" s="114" t="s">
        <v>1740</v>
      </c>
      <c r="B1241" s="114" t="s">
        <v>1776</v>
      </c>
      <c r="C1241" s="114">
        <v>2</v>
      </c>
      <c r="D1241" s="116">
        <v>0.0019246277943725174</v>
      </c>
      <c r="E1241" s="116">
        <v>0.7415870897467514</v>
      </c>
      <c r="F1241" s="114" t="s">
        <v>1708</v>
      </c>
      <c r="G1241" s="114" t="b">
        <v>0</v>
      </c>
      <c r="H1241" s="114" t="b">
        <v>0</v>
      </c>
      <c r="I1241" s="114" t="b">
        <v>0</v>
      </c>
      <c r="J1241" s="114" t="b">
        <v>0</v>
      </c>
      <c r="K1241" s="114" t="b">
        <v>0</v>
      </c>
      <c r="L1241" s="114" t="b">
        <v>0</v>
      </c>
    </row>
    <row r="1242" spans="1:12" ht="15">
      <c r="A1242" s="114" t="s">
        <v>1776</v>
      </c>
      <c r="B1242" s="114" t="s">
        <v>1776</v>
      </c>
      <c r="C1242" s="114">
        <v>2</v>
      </c>
      <c r="D1242" s="116">
        <v>0.0019246277943725174</v>
      </c>
      <c r="E1242" s="116">
        <v>1.7353381404697497</v>
      </c>
      <c r="F1242" s="114" t="s">
        <v>1708</v>
      </c>
      <c r="G1242" s="114" t="b">
        <v>0</v>
      </c>
      <c r="H1242" s="114" t="b">
        <v>0</v>
      </c>
      <c r="I1242" s="114" t="b">
        <v>0</v>
      </c>
      <c r="J1242" s="114" t="b">
        <v>0</v>
      </c>
      <c r="K1242" s="114" t="b">
        <v>0</v>
      </c>
      <c r="L1242" s="114" t="b">
        <v>0</v>
      </c>
    </row>
    <row r="1243" spans="1:12" ht="15">
      <c r="A1243" s="114" t="s">
        <v>1897</v>
      </c>
      <c r="B1243" s="114" t="s">
        <v>1887</v>
      </c>
      <c r="C1243" s="114">
        <v>2</v>
      </c>
      <c r="D1243" s="116">
        <v>0.0019246277943725174</v>
      </c>
      <c r="E1243" s="116">
        <v>2.4712917110589387</v>
      </c>
      <c r="F1243" s="114" t="s">
        <v>1708</v>
      </c>
      <c r="G1243" s="114" t="b">
        <v>0</v>
      </c>
      <c r="H1243" s="114" t="b">
        <v>0</v>
      </c>
      <c r="I1243" s="114" t="b">
        <v>0</v>
      </c>
      <c r="J1243" s="114" t="b">
        <v>0</v>
      </c>
      <c r="K1243" s="114" t="b">
        <v>0</v>
      </c>
      <c r="L1243" s="114" t="b">
        <v>0</v>
      </c>
    </row>
    <row r="1244" spans="1:12" ht="15">
      <c r="A1244" s="114" t="s">
        <v>1743</v>
      </c>
      <c r="B1244" s="114" t="s">
        <v>1816</v>
      </c>
      <c r="C1244" s="114">
        <v>2</v>
      </c>
      <c r="D1244" s="116">
        <v>0.0019246277943725174</v>
      </c>
      <c r="E1244" s="116">
        <v>0.8877151254249893</v>
      </c>
      <c r="F1244" s="114" t="s">
        <v>1708</v>
      </c>
      <c r="G1244" s="114" t="b">
        <v>0</v>
      </c>
      <c r="H1244" s="114" t="b">
        <v>0</v>
      </c>
      <c r="I1244" s="114" t="b">
        <v>0</v>
      </c>
      <c r="J1244" s="114" t="b">
        <v>0</v>
      </c>
      <c r="K1244" s="114" t="b">
        <v>0</v>
      </c>
      <c r="L1244" s="114" t="b">
        <v>0</v>
      </c>
    </row>
    <row r="1245" spans="1:12" ht="15">
      <c r="A1245" s="114" t="s">
        <v>1945</v>
      </c>
      <c r="B1245" s="114" t="s">
        <v>2371</v>
      </c>
      <c r="C1245" s="114">
        <v>2</v>
      </c>
      <c r="D1245" s="116">
        <v>0.0023628082829663766</v>
      </c>
      <c r="E1245" s="116">
        <v>2.823474229170301</v>
      </c>
      <c r="F1245" s="114" t="s">
        <v>1708</v>
      </c>
      <c r="G1245" s="114" t="b">
        <v>0</v>
      </c>
      <c r="H1245" s="114" t="b">
        <v>0</v>
      </c>
      <c r="I1245" s="114" t="b">
        <v>0</v>
      </c>
      <c r="J1245" s="114" t="b">
        <v>0</v>
      </c>
      <c r="K1245" s="114" t="b">
        <v>0</v>
      </c>
      <c r="L1245" s="114" t="b">
        <v>0</v>
      </c>
    </row>
    <row r="1246" spans="1:12" ht="15">
      <c r="A1246" s="114" t="s">
        <v>1739</v>
      </c>
      <c r="B1246" s="114" t="s">
        <v>1889</v>
      </c>
      <c r="C1246" s="114">
        <v>2</v>
      </c>
      <c r="D1246" s="116">
        <v>0.0019246277943725174</v>
      </c>
      <c r="E1246" s="116">
        <v>0.7196705082143442</v>
      </c>
      <c r="F1246" s="114" t="s">
        <v>1708</v>
      </c>
      <c r="G1246" s="114" t="b">
        <v>0</v>
      </c>
      <c r="H1246" s="114" t="b">
        <v>0</v>
      </c>
      <c r="I1246" s="114" t="b">
        <v>0</v>
      </c>
      <c r="J1246" s="114" t="b">
        <v>0</v>
      </c>
      <c r="K1246" s="114" t="b">
        <v>0</v>
      </c>
      <c r="L1246" s="114" t="b">
        <v>0</v>
      </c>
    </row>
    <row r="1247" spans="1:12" ht="15">
      <c r="A1247" s="114" t="s">
        <v>1740</v>
      </c>
      <c r="B1247" s="114" t="s">
        <v>1749</v>
      </c>
      <c r="C1247" s="114">
        <v>2</v>
      </c>
      <c r="D1247" s="116">
        <v>0.0023628082829663766</v>
      </c>
      <c r="E1247" s="116">
        <v>0.5452924446027831</v>
      </c>
      <c r="F1247" s="114" t="s">
        <v>1708</v>
      </c>
      <c r="G1247" s="114" t="b">
        <v>0</v>
      </c>
      <c r="H1247" s="114" t="b">
        <v>0</v>
      </c>
      <c r="I1247" s="114" t="b">
        <v>0</v>
      </c>
      <c r="J1247" s="114" t="b">
        <v>0</v>
      </c>
      <c r="K1247" s="114" t="b">
        <v>0</v>
      </c>
      <c r="L1247" s="114" t="b">
        <v>0</v>
      </c>
    </row>
    <row r="1248" spans="1:12" ht="15">
      <c r="A1248" s="114" t="s">
        <v>1749</v>
      </c>
      <c r="B1248" s="114" t="s">
        <v>1746</v>
      </c>
      <c r="C1248" s="114">
        <v>2</v>
      </c>
      <c r="D1248" s="116">
        <v>0.0023628082829663766</v>
      </c>
      <c r="E1248" s="116">
        <v>0.9691681873692205</v>
      </c>
      <c r="F1248" s="114" t="s">
        <v>1708</v>
      </c>
      <c r="G1248" s="114" t="b">
        <v>0</v>
      </c>
      <c r="H1248" s="114" t="b">
        <v>0</v>
      </c>
      <c r="I1248" s="114" t="b">
        <v>0</v>
      </c>
      <c r="J1248" s="114" t="b">
        <v>0</v>
      </c>
      <c r="K1248" s="114" t="b">
        <v>1</v>
      </c>
      <c r="L1248" s="114" t="b">
        <v>0</v>
      </c>
    </row>
    <row r="1249" spans="1:12" ht="15">
      <c r="A1249" s="114" t="s">
        <v>1746</v>
      </c>
      <c r="B1249" s="114" t="s">
        <v>1749</v>
      </c>
      <c r="C1249" s="114">
        <v>2</v>
      </c>
      <c r="D1249" s="116">
        <v>0.0023628082829663766</v>
      </c>
      <c r="E1249" s="116">
        <v>0.9862015266680008</v>
      </c>
      <c r="F1249" s="114" t="s">
        <v>1708</v>
      </c>
      <c r="G1249" s="114" t="b">
        <v>0</v>
      </c>
      <c r="H1249" s="114" t="b">
        <v>1</v>
      </c>
      <c r="I1249" s="114" t="b">
        <v>0</v>
      </c>
      <c r="J1249" s="114" t="b">
        <v>0</v>
      </c>
      <c r="K1249" s="114" t="b">
        <v>0</v>
      </c>
      <c r="L1249" s="114" t="b">
        <v>0</v>
      </c>
    </row>
    <row r="1250" spans="1:12" ht="15">
      <c r="A1250" s="114" t="s">
        <v>1739</v>
      </c>
      <c r="B1250" s="114" t="s">
        <v>1749</v>
      </c>
      <c r="C1250" s="114">
        <v>2</v>
      </c>
      <c r="D1250" s="116">
        <v>0.0019246277943725174</v>
      </c>
      <c r="E1250" s="116">
        <v>0.28033781438408156</v>
      </c>
      <c r="F1250" s="114" t="s">
        <v>1708</v>
      </c>
      <c r="G1250" s="114" t="b">
        <v>0</v>
      </c>
      <c r="H1250" s="114" t="b">
        <v>0</v>
      </c>
      <c r="I1250" s="114" t="b">
        <v>0</v>
      </c>
      <c r="J1250" s="114" t="b">
        <v>0</v>
      </c>
      <c r="K1250" s="114" t="b">
        <v>0</v>
      </c>
      <c r="L1250" s="114" t="b">
        <v>0</v>
      </c>
    </row>
    <row r="1251" spans="1:12" ht="15">
      <c r="A1251" s="114" t="s">
        <v>1739</v>
      </c>
      <c r="B1251" s="114" t="s">
        <v>2005</v>
      </c>
      <c r="C1251" s="114">
        <v>2</v>
      </c>
      <c r="D1251" s="116">
        <v>0.0023628082829663766</v>
      </c>
      <c r="E1251" s="116">
        <v>0.8446092448226442</v>
      </c>
      <c r="F1251" s="114" t="s">
        <v>1708</v>
      </c>
      <c r="G1251" s="114" t="b">
        <v>0</v>
      </c>
      <c r="H1251" s="114" t="b">
        <v>0</v>
      </c>
      <c r="I1251" s="114" t="b">
        <v>0</v>
      </c>
      <c r="J1251" s="114" t="b">
        <v>0</v>
      </c>
      <c r="K1251" s="114" t="b">
        <v>0</v>
      </c>
      <c r="L1251" s="114" t="b">
        <v>0</v>
      </c>
    </row>
    <row r="1252" spans="1:12" ht="15">
      <c r="A1252" s="114" t="s">
        <v>1739</v>
      </c>
      <c r="B1252" s="114" t="s">
        <v>1811</v>
      </c>
      <c r="C1252" s="114">
        <v>2</v>
      </c>
      <c r="D1252" s="116">
        <v>0.0019246277943725174</v>
      </c>
      <c r="E1252" s="116">
        <v>0.7196705082143442</v>
      </c>
      <c r="F1252" s="114" t="s">
        <v>1708</v>
      </c>
      <c r="G1252" s="114" t="b">
        <v>0</v>
      </c>
      <c r="H1252" s="114" t="b">
        <v>0</v>
      </c>
      <c r="I1252" s="114" t="b">
        <v>0</v>
      </c>
      <c r="J1252" s="114" t="b">
        <v>0</v>
      </c>
      <c r="K1252" s="114" t="b">
        <v>0</v>
      </c>
      <c r="L1252" s="114" t="b">
        <v>0</v>
      </c>
    </row>
    <row r="1253" spans="1:12" ht="15">
      <c r="A1253" s="114" t="s">
        <v>1811</v>
      </c>
      <c r="B1253" s="114" t="s">
        <v>1741</v>
      </c>
      <c r="C1253" s="114">
        <v>2</v>
      </c>
      <c r="D1253" s="116">
        <v>0.0023628082829663766</v>
      </c>
      <c r="E1253" s="116">
        <v>0.8839549765516825</v>
      </c>
      <c r="F1253" s="114" t="s">
        <v>1708</v>
      </c>
      <c r="G1253" s="114" t="b">
        <v>0</v>
      </c>
      <c r="H1253" s="114" t="b">
        <v>0</v>
      </c>
      <c r="I1253" s="114" t="b">
        <v>0</v>
      </c>
      <c r="J1253" s="114" t="b">
        <v>0</v>
      </c>
      <c r="K1253" s="114" t="b">
        <v>0</v>
      </c>
      <c r="L1253" s="114" t="b">
        <v>0</v>
      </c>
    </row>
    <row r="1254" spans="1:12" ht="15">
      <c r="A1254" s="114" t="s">
        <v>1743</v>
      </c>
      <c r="B1254" s="114" t="s">
        <v>1746</v>
      </c>
      <c r="C1254" s="114">
        <v>2</v>
      </c>
      <c r="D1254" s="116">
        <v>0.0019246277943725174</v>
      </c>
      <c r="E1254" s="116">
        <v>0.1717117817901902</v>
      </c>
      <c r="F1254" s="114" t="s">
        <v>1708</v>
      </c>
      <c r="G1254" s="114" t="b">
        <v>0</v>
      </c>
      <c r="H1254" s="114" t="b">
        <v>0</v>
      </c>
      <c r="I1254" s="114" t="b">
        <v>0</v>
      </c>
      <c r="J1254" s="114" t="b">
        <v>0</v>
      </c>
      <c r="K1254" s="114" t="b">
        <v>1</v>
      </c>
      <c r="L1254" s="114" t="b">
        <v>0</v>
      </c>
    </row>
    <row r="1255" spans="1:12" ht="15">
      <c r="A1255" s="114" t="s">
        <v>1821</v>
      </c>
      <c r="B1255" s="114" t="s">
        <v>1739</v>
      </c>
      <c r="C1255" s="114">
        <v>2</v>
      </c>
      <c r="D1255" s="116">
        <v>0.0023628082829663766</v>
      </c>
      <c r="E1255" s="116">
        <v>0.6402043854874964</v>
      </c>
      <c r="F1255" s="114" t="s">
        <v>1708</v>
      </c>
      <c r="G1255" s="114" t="b">
        <v>0</v>
      </c>
      <c r="H1255" s="114" t="b">
        <v>0</v>
      </c>
      <c r="I1255" s="114" t="b">
        <v>0</v>
      </c>
      <c r="J1255" s="114" t="b">
        <v>0</v>
      </c>
      <c r="K1255" s="114" t="b">
        <v>0</v>
      </c>
      <c r="L1255" s="114" t="b">
        <v>0</v>
      </c>
    </row>
    <row r="1256" spans="1:12" ht="15">
      <c r="A1256" s="114" t="s">
        <v>1788</v>
      </c>
      <c r="B1256" s="114" t="s">
        <v>1963</v>
      </c>
      <c r="C1256" s="114">
        <v>2</v>
      </c>
      <c r="D1256" s="116">
        <v>0.0023628082829663766</v>
      </c>
      <c r="E1256" s="116">
        <v>1.9484129657786011</v>
      </c>
      <c r="F1256" s="114" t="s">
        <v>1708</v>
      </c>
      <c r="G1256" s="114" t="b">
        <v>0</v>
      </c>
      <c r="H1256" s="114" t="b">
        <v>0</v>
      </c>
      <c r="I1256" s="114" t="b">
        <v>0</v>
      </c>
      <c r="J1256" s="114" t="b">
        <v>0</v>
      </c>
      <c r="K1256" s="114" t="b">
        <v>0</v>
      </c>
      <c r="L1256" s="114" t="b">
        <v>0</v>
      </c>
    </row>
    <row r="1257" spans="1:12" ht="15">
      <c r="A1257" s="114" t="s">
        <v>1963</v>
      </c>
      <c r="B1257" s="114" t="s">
        <v>1872</v>
      </c>
      <c r="C1257" s="114">
        <v>2</v>
      </c>
      <c r="D1257" s="116">
        <v>0.0023628082829663766</v>
      </c>
      <c r="E1257" s="116">
        <v>2.1245042248342823</v>
      </c>
      <c r="F1257" s="114" t="s">
        <v>1708</v>
      </c>
      <c r="G1257" s="114" t="b">
        <v>0</v>
      </c>
      <c r="H1257" s="114" t="b">
        <v>0</v>
      </c>
      <c r="I1257" s="114" t="b">
        <v>0</v>
      </c>
      <c r="J1257" s="114" t="b">
        <v>0</v>
      </c>
      <c r="K1257" s="114" t="b">
        <v>0</v>
      </c>
      <c r="L1257" s="114" t="b">
        <v>0</v>
      </c>
    </row>
    <row r="1258" spans="1:12" ht="15">
      <c r="A1258" s="114" t="s">
        <v>1748</v>
      </c>
      <c r="B1258" s="114" t="s">
        <v>1741</v>
      </c>
      <c r="C1258" s="114">
        <v>2</v>
      </c>
      <c r="D1258" s="116">
        <v>0.0023628082829663766</v>
      </c>
      <c r="E1258" s="116">
        <v>0.1849849722156638</v>
      </c>
      <c r="F1258" s="114" t="s">
        <v>1708</v>
      </c>
      <c r="G1258" s="114" t="b">
        <v>0</v>
      </c>
      <c r="H1258" s="114" t="b">
        <v>0</v>
      </c>
      <c r="I1258" s="114" t="b">
        <v>0</v>
      </c>
      <c r="J1258" s="114" t="b">
        <v>0</v>
      </c>
      <c r="K1258" s="114" t="b">
        <v>0</v>
      </c>
      <c r="L1258" s="114" t="b">
        <v>0</v>
      </c>
    </row>
    <row r="1259" spans="1:12" ht="15">
      <c r="A1259" s="114" t="s">
        <v>1794</v>
      </c>
      <c r="B1259" s="114" t="s">
        <v>1822</v>
      </c>
      <c r="C1259" s="114">
        <v>12</v>
      </c>
      <c r="D1259" s="116">
        <v>0.010967107258181319</v>
      </c>
      <c r="E1259" s="116">
        <v>1.3843672014827637</v>
      </c>
      <c r="F1259" s="114" t="s">
        <v>1709</v>
      </c>
      <c r="G1259" s="114" t="b">
        <v>0</v>
      </c>
      <c r="H1259" s="114" t="b">
        <v>0</v>
      </c>
      <c r="I1259" s="114" t="b">
        <v>0</v>
      </c>
      <c r="J1259" s="114" t="b">
        <v>0</v>
      </c>
      <c r="K1259" s="114" t="b">
        <v>0</v>
      </c>
      <c r="L1259" s="114" t="b">
        <v>0</v>
      </c>
    </row>
    <row r="1260" spans="1:12" ht="15">
      <c r="A1260" s="114" t="s">
        <v>1822</v>
      </c>
      <c r="B1260" s="114" t="s">
        <v>1834</v>
      </c>
      <c r="C1260" s="114">
        <v>12</v>
      </c>
      <c r="D1260" s="116">
        <v>0.010967107258181319</v>
      </c>
      <c r="E1260" s="116">
        <v>1.5093059380910636</v>
      </c>
      <c r="F1260" s="114" t="s">
        <v>1709</v>
      </c>
      <c r="G1260" s="114" t="b">
        <v>0</v>
      </c>
      <c r="H1260" s="114" t="b">
        <v>0</v>
      </c>
      <c r="I1260" s="114" t="b">
        <v>0</v>
      </c>
      <c r="J1260" s="114" t="b">
        <v>0</v>
      </c>
      <c r="K1260" s="114" t="b">
        <v>0</v>
      </c>
      <c r="L1260" s="114" t="b">
        <v>0</v>
      </c>
    </row>
    <row r="1261" spans="1:12" ht="15">
      <c r="A1261" s="114" t="s">
        <v>1741</v>
      </c>
      <c r="B1261" s="114" t="s">
        <v>1743</v>
      </c>
      <c r="C1261" s="114">
        <v>12</v>
      </c>
      <c r="D1261" s="116">
        <v>0.010967107258181319</v>
      </c>
      <c r="E1261" s="116">
        <v>1.4771212547196624</v>
      </c>
      <c r="F1261" s="114" t="s">
        <v>1709</v>
      </c>
      <c r="G1261" s="114" t="b">
        <v>0</v>
      </c>
      <c r="H1261" s="114" t="b">
        <v>0</v>
      </c>
      <c r="I1261" s="114" t="b">
        <v>0</v>
      </c>
      <c r="J1261" s="114" t="b">
        <v>0</v>
      </c>
      <c r="K1261" s="114" t="b">
        <v>0</v>
      </c>
      <c r="L1261" s="114" t="b">
        <v>0</v>
      </c>
    </row>
    <row r="1262" spans="1:12" ht="15">
      <c r="A1262" s="114" t="s">
        <v>1742</v>
      </c>
      <c r="B1262" s="114" t="s">
        <v>1815</v>
      </c>
      <c r="C1262" s="114">
        <v>12</v>
      </c>
      <c r="D1262" s="116">
        <v>0.026986441838969675</v>
      </c>
      <c r="E1262" s="116">
        <v>1.2552725051033062</v>
      </c>
      <c r="F1262" s="114" t="s">
        <v>1709</v>
      </c>
      <c r="G1262" s="114" t="b">
        <v>0</v>
      </c>
      <c r="H1262" s="114" t="b">
        <v>0</v>
      </c>
      <c r="I1262" s="114" t="b">
        <v>0</v>
      </c>
      <c r="J1262" s="114" t="b">
        <v>0</v>
      </c>
      <c r="K1262" s="114" t="b">
        <v>0</v>
      </c>
      <c r="L1262" s="114" t="b">
        <v>0</v>
      </c>
    </row>
    <row r="1263" spans="1:12" ht="15">
      <c r="A1263" s="114" t="s">
        <v>1869</v>
      </c>
      <c r="B1263" s="114" t="s">
        <v>1870</v>
      </c>
      <c r="C1263" s="114">
        <v>8</v>
      </c>
      <c r="D1263" s="116">
        <v>0.010434974844209828</v>
      </c>
      <c r="E1263" s="116">
        <v>1.7201593034059568</v>
      </c>
      <c r="F1263" s="114" t="s">
        <v>1709</v>
      </c>
      <c r="G1263" s="114" t="b">
        <v>0</v>
      </c>
      <c r="H1263" s="114" t="b">
        <v>0</v>
      </c>
      <c r="I1263" s="114" t="b">
        <v>0</v>
      </c>
      <c r="J1263" s="114" t="b">
        <v>0</v>
      </c>
      <c r="K1263" s="114" t="b">
        <v>0</v>
      </c>
      <c r="L1263" s="114" t="b">
        <v>0</v>
      </c>
    </row>
    <row r="1264" spans="1:12" ht="15">
      <c r="A1264" s="114" t="s">
        <v>1777</v>
      </c>
      <c r="B1264" s="114" t="s">
        <v>1742</v>
      </c>
      <c r="C1264" s="114">
        <v>7</v>
      </c>
      <c r="D1264" s="116">
        <v>0.01574209107273231</v>
      </c>
      <c r="E1264" s="116">
        <v>1.1066194943945644</v>
      </c>
      <c r="F1264" s="114" t="s">
        <v>1709</v>
      </c>
      <c r="G1264" s="114" t="b">
        <v>0</v>
      </c>
      <c r="H1264" s="114" t="b">
        <v>0</v>
      </c>
      <c r="I1264" s="114" t="b">
        <v>0</v>
      </c>
      <c r="J1264" s="114" t="b">
        <v>0</v>
      </c>
      <c r="K1264" s="114" t="b">
        <v>0</v>
      </c>
      <c r="L1264" s="114" t="b">
        <v>0</v>
      </c>
    </row>
    <row r="1265" spans="1:12" ht="15">
      <c r="A1265" s="114" t="s">
        <v>1834</v>
      </c>
      <c r="B1265" s="114" t="s">
        <v>1773</v>
      </c>
      <c r="C1265" s="114">
        <v>6</v>
      </c>
      <c r="D1265" s="116">
        <v>0.009488387274287748</v>
      </c>
      <c r="E1265" s="116">
        <v>0.9982800196057261</v>
      </c>
      <c r="F1265" s="114" t="s">
        <v>1709</v>
      </c>
      <c r="G1265" s="114" t="b">
        <v>0</v>
      </c>
      <c r="H1265" s="114" t="b">
        <v>0</v>
      </c>
      <c r="I1265" s="114" t="b">
        <v>0</v>
      </c>
      <c r="J1265" s="114" t="b">
        <v>0</v>
      </c>
      <c r="K1265" s="114" t="b">
        <v>0</v>
      </c>
      <c r="L1265" s="114" t="b">
        <v>0</v>
      </c>
    </row>
    <row r="1266" spans="1:12" ht="15">
      <c r="A1266" s="114" t="s">
        <v>1909</v>
      </c>
      <c r="B1266" s="114" t="s">
        <v>1981</v>
      </c>
      <c r="C1266" s="114">
        <v>5</v>
      </c>
      <c r="D1266" s="116">
        <v>0.008784830260512794</v>
      </c>
      <c r="E1266" s="116">
        <v>1.7201593034059568</v>
      </c>
      <c r="F1266" s="114" t="s">
        <v>1709</v>
      </c>
      <c r="G1266" s="114" t="b">
        <v>0</v>
      </c>
      <c r="H1266" s="114" t="b">
        <v>0</v>
      </c>
      <c r="I1266" s="114" t="b">
        <v>0</v>
      </c>
      <c r="J1266" s="114" t="b">
        <v>0</v>
      </c>
      <c r="K1266" s="114" t="b">
        <v>0</v>
      </c>
      <c r="L1266" s="114" t="b">
        <v>0</v>
      </c>
    </row>
    <row r="1267" spans="1:12" ht="15">
      <c r="A1267" s="114" t="s">
        <v>1773</v>
      </c>
      <c r="B1267" s="114" t="s">
        <v>1869</v>
      </c>
      <c r="C1267" s="114">
        <v>4</v>
      </c>
      <c r="D1267" s="116">
        <v>0.007887376518902974</v>
      </c>
      <c r="E1267" s="116">
        <v>1.1249387366083</v>
      </c>
      <c r="F1267" s="114" t="s">
        <v>1709</v>
      </c>
      <c r="G1267" s="114" t="b">
        <v>0</v>
      </c>
      <c r="H1267" s="114" t="b">
        <v>0</v>
      </c>
      <c r="I1267" s="114" t="b">
        <v>0</v>
      </c>
      <c r="J1267" s="114" t="b">
        <v>0</v>
      </c>
      <c r="K1267" s="114" t="b">
        <v>0</v>
      </c>
      <c r="L1267" s="114" t="b">
        <v>0</v>
      </c>
    </row>
    <row r="1268" spans="1:12" ht="15">
      <c r="A1268" s="114" t="s">
        <v>1815</v>
      </c>
      <c r="B1268" s="114" t="s">
        <v>1765</v>
      </c>
      <c r="C1268" s="114">
        <v>4</v>
      </c>
      <c r="D1268" s="116">
        <v>0.013227154712499092</v>
      </c>
      <c r="E1268" s="116">
        <v>1.4771212547196624</v>
      </c>
      <c r="F1268" s="114" t="s">
        <v>1709</v>
      </c>
      <c r="G1268" s="114" t="b">
        <v>0</v>
      </c>
      <c r="H1268" s="114" t="b">
        <v>0</v>
      </c>
      <c r="I1268" s="114" t="b">
        <v>0</v>
      </c>
      <c r="J1268" s="114" t="b">
        <v>0</v>
      </c>
      <c r="K1268" s="114" t="b">
        <v>0</v>
      </c>
      <c r="L1268" s="114" t="b">
        <v>0</v>
      </c>
    </row>
    <row r="1269" spans="1:12" ht="15">
      <c r="A1269" s="114" t="s">
        <v>1773</v>
      </c>
      <c r="B1269" s="114" t="s">
        <v>1794</v>
      </c>
      <c r="C1269" s="114">
        <v>3</v>
      </c>
      <c r="D1269" s="116">
        <v>0.006746610459742419</v>
      </c>
      <c r="E1269" s="116">
        <v>0.7781512503836435</v>
      </c>
      <c r="F1269" s="114" t="s">
        <v>1709</v>
      </c>
      <c r="G1269" s="114" t="b">
        <v>0</v>
      </c>
      <c r="H1269" s="114" t="b">
        <v>0</v>
      </c>
      <c r="I1269" s="114" t="b">
        <v>0</v>
      </c>
      <c r="J1269" s="114" t="b">
        <v>0</v>
      </c>
      <c r="K1269" s="114" t="b">
        <v>0</v>
      </c>
      <c r="L1269" s="114" t="b">
        <v>0</v>
      </c>
    </row>
    <row r="1270" spans="1:12" ht="15">
      <c r="A1270" s="114" t="s">
        <v>1870</v>
      </c>
      <c r="B1270" s="114" t="s">
        <v>1773</v>
      </c>
      <c r="C1270" s="114">
        <v>3</v>
      </c>
      <c r="D1270" s="116">
        <v>0.006746610459742419</v>
      </c>
      <c r="E1270" s="116">
        <v>0.8935446690857132</v>
      </c>
      <c r="F1270" s="114" t="s">
        <v>1709</v>
      </c>
      <c r="G1270" s="114" t="b">
        <v>0</v>
      </c>
      <c r="H1270" s="114" t="b">
        <v>0</v>
      </c>
      <c r="I1270" s="114" t="b">
        <v>0</v>
      </c>
      <c r="J1270" s="114" t="b">
        <v>0</v>
      </c>
      <c r="K1270" s="114" t="b">
        <v>0</v>
      </c>
      <c r="L1270" s="114" t="b">
        <v>0</v>
      </c>
    </row>
    <row r="1271" spans="1:12" ht="15">
      <c r="A1271" s="114" t="s">
        <v>1894</v>
      </c>
      <c r="B1271" s="114" t="s">
        <v>2145</v>
      </c>
      <c r="C1271" s="114">
        <v>3</v>
      </c>
      <c r="D1271" s="116">
        <v>0.006746610459742419</v>
      </c>
      <c r="E1271" s="116">
        <v>2.146128035678238</v>
      </c>
      <c r="F1271" s="114" t="s">
        <v>1709</v>
      </c>
      <c r="G1271" s="114" t="b">
        <v>0</v>
      </c>
      <c r="H1271" s="114" t="b">
        <v>0</v>
      </c>
      <c r="I1271" s="114" t="b">
        <v>0</v>
      </c>
      <c r="J1271" s="114" t="b">
        <v>0</v>
      </c>
      <c r="K1271" s="114" t="b">
        <v>0</v>
      </c>
      <c r="L1271" s="114" t="b">
        <v>0</v>
      </c>
    </row>
    <row r="1272" spans="1:12" ht="15">
      <c r="A1272" s="114" t="s">
        <v>1743</v>
      </c>
      <c r="B1272" s="114" t="s">
        <v>1742</v>
      </c>
      <c r="C1272" s="114">
        <v>3</v>
      </c>
      <c r="D1272" s="116">
        <v>0.006746610459742419</v>
      </c>
      <c r="E1272" s="116">
        <v>0.697250023941745</v>
      </c>
      <c r="F1272" s="114" t="s">
        <v>1709</v>
      </c>
      <c r="G1272" s="114" t="b">
        <v>0</v>
      </c>
      <c r="H1272" s="114" t="b">
        <v>0</v>
      </c>
      <c r="I1272" s="114" t="b">
        <v>0</v>
      </c>
      <c r="J1272" s="114" t="b">
        <v>0</v>
      </c>
      <c r="K1272" s="114" t="b">
        <v>0</v>
      </c>
      <c r="L1272" s="114" t="b">
        <v>0</v>
      </c>
    </row>
    <row r="1273" spans="1:12" ht="15">
      <c r="A1273" s="114" t="s">
        <v>1815</v>
      </c>
      <c r="B1273" s="114" t="s">
        <v>1742</v>
      </c>
      <c r="C1273" s="114">
        <v>3</v>
      </c>
      <c r="D1273" s="116">
        <v>0.007917949211775775</v>
      </c>
      <c r="E1273" s="116">
        <v>0.592514673421732</v>
      </c>
      <c r="F1273" s="114" t="s">
        <v>1709</v>
      </c>
      <c r="G1273" s="114" t="b">
        <v>0</v>
      </c>
      <c r="H1273" s="114" t="b">
        <v>0</v>
      </c>
      <c r="I1273" s="114" t="b">
        <v>0</v>
      </c>
      <c r="J1273" s="114" t="b">
        <v>0</v>
      </c>
      <c r="K1273" s="114" t="b">
        <v>0</v>
      </c>
      <c r="L1273" s="114" t="b">
        <v>0</v>
      </c>
    </row>
    <row r="1274" spans="1:12" ht="15">
      <c r="A1274" s="114" t="s">
        <v>1777</v>
      </c>
      <c r="B1274" s="114" t="s">
        <v>1747</v>
      </c>
      <c r="C1274" s="114">
        <v>2</v>
      </c>
      <c r="D1274" s="116">
        <v>0.005278632807850516</v>
      </c>
      <c r="E1274" s="116">
        <v>1.1461280356782382</v>
      </c>
      <c r="F1274" s="114" t="s">
        <v>1709</v>
      </c>
      <c r="G1274" s="114" t="b">
        <v>0</v>
      </c>
      <c r="H1274" s="114" t="b">
        <v>0</v>
      </c>
      <c r="I1274" s="114" t="b">
        <v>0</v>
      </c>
      <c r="J1274" s="114" t="b">
        <v>0</v>
      </c>
      <c r="K1274" s="114" t="b">
        <v>0</v>
      </c>
      <c r="L1274" s="114" t="b">
        <v>0</v>
      </c>
    </row>
    <row r="1275" spans="1:12" ht="15">
      <c r="A1275" s="114" t="s">
        <v>1740</v>
      </c>
      <c r="B1275" s="114" t="s">
        <v>1739</v>
      </c>
      <c r="C1275" s="114">
        <v>2</v>
      </c>
      <c r="D1275" s="116">
        <v>0.005278632807850516</v>
      </c>
      <c r="E1275" s="116">
        <v>1.1918855262389132</v>
      </c>
      <c r="F1275" s="114" t="s">
        <v>1709</v>
      </c>
      <c r="G1275" s="114" t="b">
        <v>0</v>
      </c>
      <c r="H1275" s="114" t="b">
        <v>0</v>
      </c>
      <c r="I1275" s="114" t="b">
        <v>0</v>
      </c>
      <c r="J1275" s="114" t="b">
        <v>0</v>
      </c>
      <c r="K1275" s="114" t="b">
        <v>0</v>
      </c>
      <c r="L1275" s="114" t="b">
        <v>0</v>
      </c>
    </row>
    <row r="1276" spans="1:12" ht="15">
      <c r="A1276" s="114" t="s">
        <v>1739</v>
      </c>
      <c r="B1276" s="114" t="s">
        <v>1816</v>
      </c>
      <c r="C1276" s="114">
        <v>2</v>
      </c>
      <c r="D1276" s="116">
        <v>0.005278632807850516</v>
      </c>
      <c r="E1276" s="116">
        <v>1.845098040014257</v>
      </c>
      <c r="F1276" s="114" t="s">
        <v>1709</v>
      </c>
      <c r="G1276" s="114" t="b">
        <v>0</v>
      </c>
      <c r="H1276" s="114" t="b">
        <v>0</v>
      </c>
      <c r="I1276" s="114" t="b">
        <v>0</v>
      </c>
      <c r="J1276" s="114" t="b">
        <v>0</v>
      </c>
      <c r="K1276" s="114" t="b">
        <v>0</v>
      </c>
      <c r="L1276" s="114" t="b">
        <v>0</v>
      </c>
    </row>
    <row r="1277" spans="1:12" ht="15">
      <c r="A1277" s="114" t="s">
        <v>1742</v>
      </c>
      <c r="B1277" s="114" t="s">
        <v>2274</v>
      </c>
      <c r="C1277" s="114">
        <v>2</v>
      </c>
      <c r="D1277" s="116">
        <v>0.006613577356249546</v>
      </c>
      <c r="E1277" s="116">
        <v>1.3222192947339193</v>
      </c>
      <c r="F1277" s="114" t="s">
        <v>1709</v>
      </c>
      <c r="G1277" s="114" t="b">
        <v>0</v>
      </c>
      <c r="H1277" s="114" t="b">
        <v>0</v>
      </c>
      <c r="I1277" s="114" t="b">
        <v>0</v>
      </c>
      <c r="J1277" s="114" t="b">
        <v>0</v>
      </c>
      <c r="K1277" s="114" t="b">
        <v>0</v>
      </c>
      <c r="L1277" s="114" t="b">
        <v>0</v>
      </c>
    </row>
    <row r="1278" spans="1:12" ht="15">
      <c r="A1278" s="114" t="s">
        <v>1989</v>
      </c>
      <c r="B1278" s="114" t="s">
        <v>1990</v>
      </c>
      <c r="C1278" s="114">
        <v>2</v>
      </c>
      <c r="D1278" s="116">
        <v>0.005278632807850516</v>
      </c>
      <c r="E1278" s="116">
        <v>2.322219294733919</v>
      </c>
      <c r="F1278" s="114" t="s">
        <v>1709</v>
      </c>
      <c r="G1278" s="114" t="b">
        <v>0</v>
      </c>
      <c r="H1278" s="114" t="b">
        <v>0</v>
      </c>
      <c r="I1278" s="114" t="b">
        <v>0</v>
      </c>
      <c r="J1278" s="114" t="b">
        <v>0</v>
      </c>
      <c r="K1278" s="114" t="b">
        <v>0</v>
      </c>
      <c r="L1278" s="114" t="b">
        <v>0</v>
      </c>
    </row>
    <row r="1279" spans="1:12" ht="15">
      <c r="A1279" s="114" t="s">
        <v>1794</v>
      </c>
      <c r="B1279" s="114" t="s">
        <v>2299</v>
      </c>
      <c r="C1279" s="114">
        <v>2</v>
      </c>
      <c r="D1279" s="116">
        <v>0.005278632807850516</v>
      </c>
      <c r="E1279" s="116">
        <v>1.4191293077419755</v>
      </c>
      <c r="F1279" s="114" t="s">
        <v>1709</v>
      </c>
      <c r="G1279" s="114" t="b">
        <v>0</v>
      </c>
      <c r="H1279" s="114" t="b">
        <v>0</v>
      </c>
      <c r="I1279" s="114" t="b">
        <v>0</v>
      </c>
      <c r="J1279" s="114" t="b">
        <v>0</v>
      </c>
      <c r="K1279" s="114" t="b">
        <v>0</v>
      </c>
      <c r="L1279" s="114" t="b">
        <v>0</v>
      </c>
    </row>
    <row r="1280" spans="1:12" ht="15">
      <c r="A1280" s="114" t="s">
        <v>2299</v>
      </c>
      <c r="B1280" s="114" t="s">
        <v>2300</v>
      </c>
      <c r="C1280" s="114">
        <v>2</v>
      </c>
      <c r="D1280" s="116">
        <v>0.005278632807850516</v>
      </c>
      <c r="E1280" s="116">
        <v>2.322219294733919</v>
      </c>
      <c r="F1280" s="114" t="s">
        <v>1709</v>
      </c>
      <c r="G1280" s="114" t="b">
        <v>0</v>
      </c>
      <c r="H1280" s="114" t="b">
        <v>0</v>
      </c>
      <c r="I1280" s="114" t="b">
        <v>0</v>
      </c>
      <c r="J1280" s="114" t="b">
        <v>0</v>
      </c>
      <c r="K1280" s="114" t="b">
        <v>0</v>
      </c>
      <c r="L1280" s="114" t="b">
        <v>0</v>
      </c>
    </row>
    <row r="1281" spans="1:12" ht="15">
      <c r="A1281" s="114" t="s">
        <v>1870</v>
      </c>
      <c r="B1281" s="114" t="s">
        <v>1741</v>
      </c>
      <c r="C1281" s="114">
        <v>2</v>
      </c>
      <c r="D1281" s="116">
        <v>0.005278632807850516</v>
      </c>
      <c r="E1281" s="116">
        <v>0.965237893740788</v>
      </c>
      <c r="F1281" s="114" t="s">
        <v>1709</v>
      </c>
      <c r="G1281" s="114" t="b">
        <v>0</v>
      </c>
      <c r="H1281" s="114" t="b">
        <v>0</v>
      </c>
      <c r="I1281" s="114" t="b">
        <v>0</v>
      </c>
      <c r="J1281" s="114" t="b">
        <v>0</v>
      </c>
      <c r="K1281" s="114" t="b">
        <v>0</v>
      </c>
      <c r="L1281" s="114" t="b">
        <v>0</v>
      </c>
    </row>
    <row r="1282" spans="1:12" ht="15">
      <c r="A1282" s="114" t="s">
        <v>1743</v>
      </c>
      <c r="B1282" s="114" t="s">
        <v>1739</v>
      </c>
      <c r="C1282" s="114">
        <v>2</v>
      </c>
      <c r="D1282" s="116">
        <v>0.005278632807850516</v>
      </c>
      <c r="E1282" s="116">
        <v>0.9286440914643318</v>
      </c>
      <c r="F1282" s="114" t="s">
        <v>1709</v>
      </c>
      <c r="G1282" s="114" t="b">
        <v>0</v>
      </c>
      <c r="H1282" s="114" t="b">
        <v>0</v>
      </c>
      <c r="I1282" s="114" t="b">
        <v>0</v>
      </c>
      <c r="J1282" s="114" t="b">
        <v>0</v>
      </c>
      <c r="K1282" s="114" t="b">
        <v>0</v>
      </c>
      <c r="L1282" s="114" t="b">
        <v>0</v>
      </c>
    </row>
    <row r="1283" spans="1:12" ht="15">
      <c r="A1283" s="114" t="s">
        <v>1747</v>
      </c>
      <c r="B1283" s="114" t="s">
        <v>1845</v>
      </c>
      <c r="C1283" s="114">
        <v>2</v>
      </c>
      <c r="D1283" s="116">
        <v>0.005278632807850516</v>
      </c>
      <c r="E1283" s="116">
        <v>1.7481880270062005</v>
      </c>
      <c r="F1283" s="114" t="s">
        <v>1709</v>
      </c>
      <c r="G1283" s="114" t="b">
        <v>0</v>
      </c>
      <c r="H1283" s="114" t="b">
        <v>0</v>
      </c>
      <c r="I1283" s="114" t="b">
        <v>0</v>
      </c>
      <c r="J1283" s="114" t="b">
        <v>0</v>
      </c>
      <c r="K1283" s="114" t="b">
        <v>0</v>
      </c>
      <c r="L1283" s="114" t="b">
        <v>0</v>
      </c>
    </row>
    <row r="1284" spans="1:12" ht="15">
      <c r="A1284" s="114" t="s">
        <v>1773</v>
      </c>
      <c r="B1284" s="114" t="s">
        <v>1741</v>
      </c>
      <c r="C1284" s="114">
        <v>2</v>
      </c>
      <c r="D1284" s="116">
        <v>0.005278632807850516</v>
      </c>
      <c r="E1284" s="116">
        <v>0.4881166390211256</v>
      </c>
      <c r="F1284" s="114" t="s">
        <v>1709</v>
      </c>
      <c r="G1284" s="114" t="b">
        <v>0</v>
      </c>
      <c r="H1284" s="114" t="b">
        <v>0</v>
      </c>
      <c r="I1284" s="114" t="b">
        <v>0</v>
      </c>
      <c r="J1284" s="114" t="b">
        <v>0</v>
      </c>
      <c r="K1284" s="114" t="b">
        <v>0</v>
      </c>
      <c r="L1284" s="114" t="b">
        <v>0</v>
      </c>
    </row>
    <row r="1285" spans="1:12" ht="15">
      <c r="A1285" s="114" t="s">
        <v>2296</v>
      </c>
      <c r="B1285" s="114" t="s">
        <v>2046</v>
      </c>
      <c r="C1285" s="114">
        <v>2</v>
      </c>
      <c r="D1285" s="116">
        <v>0.006613577356249546</v>
      </c>
      <c r="E1285" s="116">
        <v>2.322219294733919</v>
      </c>
      <c r="F1285" s="114" t="s">
        <v>1709</v>
      </c>
      <c r="G1285" s="114" t="b">
        <v>0</v>
      </c>
      <c r="H1285" s="114" t="b">
        <v>0</v>
      </c>
      <c r="I1285" s="114" t="b">
        <v>0</v>
      </c>
      <c r="J1285" s="114" t="b">
        <v>0</v>
      </c>
      <c r="K1285" s="114" t="b">
        <v>0</v>
      </c>
      <c r="L1285" s="114" t="b">
        <v>0</v>
      </c>
    </row>
    <row r="1286" spans="1:12" ht="15">
      <c r="A1286" s="114" t="s">
        <v>1773</v>
      </c>
      <c r="B1286" s="114" t="s">
        <v>1773</v>
      </c>
      <c r="C1286" s="114">
        <v>2</v>
      </c>
      <c r="D1286" s="116">
        <v>0.006613577356249546</v>
      </c>
      <c r="E1286" s="116">
        <v>0.2403321553103695</v>
      </c>
      <c r="F1286" s="114" t="s">
        <v>1709</v>
      </c>
      <c r="G1286" s="114" t="b">
        <v>0</v>
      </c>
      <c r="H1286" s="114" t="b">
        <v>0</v>
      </c>
      <c r="I1286" s="114" t="b">
        <v>0</v>
      </c>
      <c r="J1286" s="114" t="b">
        <v>0</v>
      </c>
      <c r="K1286" s="114" t="b">
        <v>0</v>
      </c>
      <c r="L1286" s="114" t="b">
        <v>0</v>
      </c>
    </row>
    <row r="1287" spans="1:12" ht="15">
      <c r="A1287" s="114" t="s">
        <v>2123</v>
      </c>
      <c r="B1287" s="114" t="s">
        <v>1740</v>
      </c>
      <c r="C1287" s="114">
        <v>2</v>
      </c>
      <c r="D1287" s="116">
        <v>0.005278632807850516</v>
      </c>
      <c r="E1287" s="116">
        <v>1.7781512503836436</v>
      </c>
      <c r="F1287" s="114" t="s">
        <v>1709</v>
      </c>
      <c r="G1287" s="114" t="b">
        <v>0</v>
      </c>
      <c r="H1287" s="114" t="b">
        <v>0</v>
      </c>
      <c r="I1287" s="114" t="b">
        <v>0</v>
      </c>
      <c r="J1287" s="114" t="b">
        <v>0</v>
      </c>
      <c r="K1287" s="114" t="b">
        <v>0</v>
      </c>
      <c r="L1287" s="114" t="b">
        <v>0</v>
      </c>
    </row>
    <row r="1288" spans="1:12" ht="15">
      <c r="A1288" s="114" t="s">
        <v>1739</v>
      </c>
      <c r="B1288" s="114" t="s">
        <v>1748</v>
      </c>
      <c r="C1288" s="114">
        <v>2</v>
      </c>
      <c r="D1288" s="116">
        <v>0.005278632807850516</v>
      </c>
      <c r="E1288" s="116">
        <v>1.5440680443502757</v>
      </c>
      <c r="F1288" s="114" t="s">
        <v>1709</v>
      </c>
      <c r="G1288" s="114" t="b">
        <v>0</v>
      </c>
      <c r="H1288" s="114" t="b">
        <v>0</v>
      </c>
      <c r="I1288" s="114" t="b">
        <v>0</v>
      </c>
      <c r="J1288" s="114" t="b">
        <v>0</v>
      </c>
      <c r="K1288" s="114" t="b">
        <v>0</v>
      </c>
      <c r="L1288" s="114" t="b">
        <v>0</v>
      </c>
    </row>
    <row r="1289" spans="1:12" ht="15">
      <c r="A1289" s="114" t="s">
        <v>1748</v>
      </c>
      <c r="B1289" s="114" t="s">
        <v>1741</v>
      </c>
      <c r="C1289" s="114">
        <v>2</v>
      </c>
      <c r="D1289" s="116">
        <v>0.005278632807850516</v>
      </c>
      <c r="E1289" s="116">
        <v>1.2082759424270826</v>
      </c>
      <c r="F1289" s="114" t="s">
        <v>1709</v>
      </c>
      <c r="G1289" s="114" t="b">
        <v>0</v>
      </c>
      <c r="H1289" s="114" t="b">
        <v>0</v>
      </c>
      <c r="I1289" s="114" t="b">
        <v>0</v>
      </c>
      <c r="J1289" s="114" t="b">
        <v>0</v>
      </c>
      <c r="K1289" s="114" t="b">
        <v>0</v>
      </c>
      <c r="L1289" s="114" t="b">
        <v>0</v>
      </c>
    </row>
    <row r="1290" spans="1:12" ht="15">
      <c r="A1290" s="114" t="s">
        <v>1739</v>
      </c>
      <c r="B1290" s="114" t="s">
        <v>1742</v>
      </c>
      <c r="C1290" s="114">
        <v>2</v>
      </c>
      <c r="D1290" s="116">
        <v>0.005278632807850516</v>
      </c>
      <c r="E1290" s="116">
        <v>0.7844001996606452</v>
      </c>
      <c r="F1290" s="114" t="s">
        <v>1709</v>
      </c>
      <c r="G1290" s="114" t="b">
        <v>0</v>
      </c>
      <c r="H1290" s="114" t="b">
        <v>0</v>
      </c>
      <c r="I1290" s="114" t="b">
        <v>0</v>
      </c>
      <c r="J1290" s="114" t="b">
        <v>0</v>
      </c>
      <c r="K1290" s="114" t="b">
        <v>0</v>
      </c>
      <c r="L1290" s="114" t="b">
        <v>0</v>
      </c>
    </row>
    <row r="1291" spans="1:12" ht="15">
      <c r="A1291" s="114" t="s">
        <v>1740</v>
      </c>
      <c r="B1291" s="114" t="s">
        <v>2027</v>
      </c>
      <c r="C1291" s="114">
        <v>2</v>
      </c>
      <c r="D1291" s="116">
        <v>0.006613577356249546</v>
      </c>
      <c r="E1291" s="116">
        <v>1.5440680443502757</v>
      </c>
      <c r="F1291" s="114" t="s">
        <v>1709</v>
      </c>
      <c r="G1291" s="114" t="b">
        <v>0</v>
      </c>
      <c r="H1291" s="114" t="b">
        <v>0</v>
      </c>
      <c r="I1291" s="114" t="b">
        <v>0</v>
      </c>
      <c r="J1291" s="114" t="b">
        <v>0</v>
      </c>
      <c r="K1291" s="114" t="b">
        <v>0</v>
      </c>
      <c r="L1291" s="114" t="b">
        <v>0</v>
      </c>
    </row>
    <row r="1292" spans="1:12" ht="15">
      <c r="A1292" s="114" t="s">
        <v>1741</v>
      </c>
      <c r="B1292" s="114" t="s">
        <v>1743</v>
      </c>
      <c r="C1292" s="114">
        <v>34</v>
      </c>
      <c r="D1292" s="116">
        <v>0.008410140672008147</v>
      </c>
      <c r="E1292" s="116">
        <v>1.4001060704285453</v>
      </c>
      <c r="F1292" s="114" t="s">
        <v>1710</v>
      </c>
      <c r="G1292" s="114" t="b">
        <v>0</v>
      </c>
      <c r="H1292" s="114" t="b">
        <v>0</v>
      </c>
      <c r="I1292" s="114" t="b">
        <v>0</v>
      </c>
      <c r="J1292" s="114" t="b">
        <v>0</v>
      </c>
      <c r="K1292" s="114" t="b">
        <v>0</v>
      </c>
      <c r="L1292" s="114" t="b">
        <v>0</v>
      </c>
    </row>
    <row r="1293" spans="1:12" ht="15">
      <c r="A1293" s="114" t="s">
        <v>1740</v>
      </c>
      <c r="B1293" s="114" t="s">
        <v>1739</v>
      </c>
      <c r="C1293" s="114">
        <v>10</v>
      </c>
      <c r="D1293" s="116">
        <v>0.004623267972089752</v>
      </c>
      <c r="E1293" s="116">
        <v>0.49431019006067684</v>
      </c>
      <c r="F1293" s="114" t="s">
        <v>1710</v>
      </c>
      <c r="G1293" s="114" t="b">
        <v>0</v>
      </c>
      <c r="H1293" s="114" t="b">
        <v>0</v>
      </c>
      <c r="I1293" s="114" t="b">
        <v>0</v>
      </c>
      <c r="J1293" s="114" t="b">
        <v>0</v>
      </c>
      <c r="K1293" s="114" t="b">
        <v>0</v>
      </c>
      <c r="L1293" s="114" t="b">
        <v>0</v>
      </c>
    </row>
    <row r="1294" spans="1:12" ht="15">
      <c r="A1294" s="114" t="s">
        <v>1739</v>
      </c>
      <c r="B1294" s="114" t="s">
        <v>1740</v>
      </c>
      <c r="C1294" s="114">
        <v>9</v>
      </c>
      <c r="D1294" s="116">
        <v>0.004160941174880777</v>
      </c>
      <c r="E1294" s="116">
        <v>0.45180180055387875</v>
      </c>
      <c r="F1294" s="114" t="s">
        <v>1710</v>
      </c>
      <c r="G1294" s="114" t="b">
        <v>0</v>
      </c>
      <c r="H1294" s="114" t="b">
        <v>0</v>
      </c>
      <c r="I1294" s="114" t="b">
        <v>0</v>
      </c>
      <c r="J1294" s="114" t="b">
        <v>0</v>
      </c>
      <c r="K1294" s="114" t="b">
        <v>0</v>
      </c>
      <c r="L1294" s="114" t="b">
        <v>0</v>
      </c>
    </row>
    <row r="1295" spans="1:12" ht="15">
      <c r="A1295" s="114" t="s">
        <v>1739</v>
      </c>
      <c r="B1295" s="114" t="s">
        <v>1739</v>
      </c>
      <c r="C1295" s="114">
        <v>8</v>
      </c>
      <c r="D1295" s="116">
        <v>0.004544695536005662</v>
      </c>
      <c r="E1295" s="116">
        <v>-0.03165963219680267</v>
      </c>
      <c r="F1295" s="114" t="s">
        <v>1710</v>
      </c>
      <c r="G1295" s="114" t="b">
        <v>0</v>
      </c>
      <c r="H1295" s="114" t="b">
        <v>0</v>
      </c>
      <c r="I1295" s="114" t="b">
        <v>0</v>
      </c>
      <c r="J1295" s="114" t="b">
        <v>0</v>
      </c>
      <c r="K1295" s="114" t="b">
        <v>0</v>
      </c>
      <c r="L1295" s="114" t="b">
        <v>0</v>
      </c>
    </row>
    <row r="1296" spans="1:12" ht="15">
      <c r="A1296" s="114" t="s">
        <v>1739</v>
      </c>
      <c r="B1296" s="114" t="s">
        <v>1742</v>
      </c>
      <c r="C1296" s="114">
        <v>8</v>
      </c>
      <c r="D1296" s="116">
        <v>0.005677471006379601</v>
      </c>
      <c r="E1296" s="116">
        <v>0.4006492781064974</v>
      </c>
      <c r="F1296" s="114" t="s">
        <v>1710</v>
      </c>
      <c r="G1296" s="114" t="b">
        <v>0</v>
      </c>
      <c r="H1296" s="114" t="b">
        <v>0</v>
      </c>
      <c r="I1296" s="114" t="b">
        <v>0</v>
      </c>
      <c r="J1296" s="114" t="b">
        <v>0</v>
      </c>
      <c r="K1296" s="114" t="b">
        <v>0</v>
      </c>
      <c r="L1296" s="114" t="b">
        <v>0</v>
      </c>
    </row>
    <row r="1297" spans="1:12" ht="15">
      <c r="A1297" s="114" t="s">
        <v>1744</v>
      </c>
      <c r="B1297" s="114" t="s">
        <v>1746</v>
      </c>
      <c r="C1297" s="114">
        <v>7</v>
      </c>
      <c r="D1297" s="116">
        <v>0.003976608594004954</v>
      </c>
      <c r="E1297" s="116">
        <v>1.2117803549558526</v>
      </c>
      <c r="F1297" s="114" t="s">
        <v>1710</v>
      </c>
      <c r="G1297" s="114" t="b">
        <v>0</v>
      </c>
      <c r="H1297" s="114" t="b">
        <v>0</v>
      </c>
      <c r="I1297" s="114" t="b">
        <v>0</v>
      </c>
      <c r="J1297" s="114" t="b">
        <v>0</v>
      </c>
      <c r="K1297" s="114" t="b">
        <v>1</v>
      </c>
      <c r="L1297" s="114" t="b">
        <v>0</v>
      </c>
    </row>
    <row r="1298" spans="1:12" ht="15">
      <c r="A1298" s="114" t="s">
        <v>1739</v>
      </c>
      <c r="B1298" s="114" t="s">
        <v>1751</v>
      </c>
      <c r="C1298" s="114">
        <v>7</v>
      </c>
      <c r="D1298" s="116">
        <v>0.003976608594004954</v>
      </c>
      <c r="E1298" s="116">
        <v>0.7280082124928279</v>
      </c>
      <c r="F1298" s="114" t="s">
        <v>1710</v>
      </c>
      <c r="G1298" s="114" t="b">
        <v>0</v>
      </c>
      <c r="H1298" s="114" t="b">
        <v>0</v>
      </c>
      <c r="I1298" s="114" t="b">
        <v>0</v>
      </c>
      <c r="J1298" s="114" t="b">
        <v>0</v>
      </c>
      <c r="K1298" s="114" t="b">
        <v>1</v>
      </c>
      <c r="L1298" s="114" t="b">
        <v>0</v>
      </c>
    </row>
    <row r="1299" spans="1:12" ht="15">
      <c r="A1299" s="114" t="s">
        <v>1743</v>
      </c>
      <c r="B1299" s="114" t="s">
        <v>1739</v>
      </c>
      <c r="C1299" s="114">
        <v>6</v>
      </c>
      <c r="D1299" s="116">
        <v>0.0037977471731124634</v>
      </c>
      <c r="E1299" s="116">
        <v>0.31137950647469015</v>
      </c>
      <c r="F1299" s="114" t="s">
        <v>1710</v>
      </c>
      <c r="G1299" s="114" t="b">
        <v>0</v>
      </c>
      <c r="H1299" s="114" t="b">
        <v>0</v>
      </c>
      <c r="I1299" s="114" t="b">
        <v>0</v>
      </c>
      <c r="J1299" s="114" t="b">
        <v>0</v>
      </c>
      <c r="K1299" s="114" t="b">
        <v>0</v>
      </c>
      <c r="L1299" s="114" t="b">
        <v>0</v>
      </c>
    </row>
    <row r="1300" spans="1:12" ht="15">
      <c r="A1300" s="114" t="s">
        <v>1743</v>
      </c>
      <c r="B1300" s="114" t="s">
        <v>1742</v>
      </c>
      <c r="C1300" s="114">
        <v>5</v>
      </c>
      <c r="D1300" s="116">
        <v>0.004623267972089752</v>
      </c>
      <c r="E1300" s="116">
        <v>0.6645071707303655</v>
      </c>
      <c r="F1300" s="114" t="s">
        <v>1710</v>
      </c>
      <c r="G1300" s="114" t="b">
        <v>0</v>
      </c>
      <c r="H1300" s="114" t="b">
        <v>0</v>
      </c>
      <c r="I1300" s="114" t="b">
        <v>0</v>
      </c>
      <c r="J1300" s="114" t="b">
        <v>0</v>
      </c>
      <c r="K1300" s="114" t="b">
        <v>0</v>
      </c>
      <c r="L1300" s="114" t="b">
        <v>0</v>
      </c>
    </row>
    <row r="1301" spans="1:12" ht="15">
      <c r="A1301" s="114" t="s">
        <v>1742</v>
      </c>
      <c r="B1301" s="114" t="s">
        <v>1742</v>
      </c>
      <c r="C1301" s="114">
        <v>5</v>
      </c>
      <c r="D1301" s="116">
        <v>0.00401794463580923</v>
      </c>
      <c r="E1301" s="116">
        <v>0.6381782320080162</v>
      </c>
      <c r="F1301" s="114" t="s">
        <v>1710</v>
      </c>
      <c r="G1301" s="114" t="b">
        <v>0</v>
      </c>
      <c r="H1301" s="114" t="b">
        <v>0</v>
      </c>
      <c r="I1301" s="114" t="b">
        <v>0</v>
      </c>
      <c r="J1301" s="114" t="b">
        <v>0</v>
      </c>
      <c r="K1301" s="114" t="b">
        <v>0</v>
      </c>
      <c r="L1301" s="114" t="b">
        <v>0</v>
      </c>
    </row>
    <row r="1302" spans="1:12" ht="15">
      <c r="A1302" s="114" t="s">
        <v>1742</v>
      </c>
      <c r="B1302" s="114" t="s">
        <v>1739</v>
      </c>
      <c r="C1302" s="114">
        <v>5</v>
      </c>
      <c r="D1302" s="116">
        <v>0.004623267972089752</v>
      </c>
      <c r="E1302" s="116">
        <v>0.20586932170471614</v>
      </c>
      <c r="F1302" s="114" t="s">
        <v>1710</v>
      </c>
      <c r="G1302" s="114" t="b">
        <v>0</v>
      </c>
      <c r="H1302" s="114" t="b">
        <v>0</v>
      </c>
      <c r="I1302" s="114" t="b">
        <v>0</v>
      </c>
      <c r="J1302" s="114" t="b">
        <v>0</v>
      </c>
      <c r="K1302" s="114" t="b">
        <v>0</v>
      </c>
      <c r="L1302" s="114" t="b">
        <v>0</v>
      </c>
    </row>
    <row r="1303" spans="1:12" ht="15">
      <c r="A1303" s="114" t="s">
        <v>1742</v>
      </c>
      <c r="B1303" s="114" t="s">
        <v>1741</v>
      </c>
      <c r="C1303" s="114">
        <v>5</v>
      </c>
      <c r="D1303" s="116">
        <v>0.00401794463580923</v>
      </c>
      <c r="E1303" s="116">
        <v>0.6014554249832763</v>
      </c>
      <c r="F1303" s="114" t="s">
        <v>1710</v>
      </c>
      <c r="G1303" s="114" t="b">
        <v>0</v>
      </c>
      <c r="H1303" s="114" t="b">
        <v>0</v>
      </c>
      <c r="I1303" s="114" t="b">
        <v>0</v>
      </c>
      <c r="J1303" s="114" t="b">
        <v>0</v>
      </c>
      <c r="K1303" s="114" t="b">
        <v>0</v>
      </c>
      <c r="L1303" s="114" t="b">
        <v>0</v>
      </c>
    </row>
    <row r="1304" spans="1:12" ht="15">
      <c r="A1304" s="114" t="s">
        <v>1744</v>
      </c>
      <c r="B1304" s="114" t="s">
        <v>1739</v>
      </c>
      <c r="C1304" s="114">
        <v>5</v>
      </c>
      <c r="D1304" s="116">
        <v>0.0035484193789872506</v>
      </c>
      <c r="E1304" s="116">
        <v>0.3059844745879839</v>
      </c>
      <c r="F1304" s="114" t="s">
        <v>1710</v>
      </c>
      <c r="G1304" s="114" t="b">
        <v>0</v>
      </c>
      <c r="H1304" s="114" t="b">
        <v>0</v>
      </c>
      <c r="I1304" s="114" t="b">
        <v>0</v>
      </c>
      <c r="J1304" s="114" t="b">
        <v>0</v>
      </c>
      <c r="K1304" s="114" t="b">
        <v>0</v>
      </c>
      <c r="L1304" s="114" t="b">
        <v>0</v>
      </c>
    </row>
    <row r="1305" spans="1:12" ht="15">
      <c r="A1305" s="114" t="s">
        <v>1739</v>
      </c>
      <c r="B1305" s="114" t="s">
        <v>1748</v>
      </c>
      <c r="C1305" s="114">
        <v>5</v>
      </c>
      <c r="D1305" s="116">
        <v>0.0035484193789872506</v>
      </c>
      <c r="E1305" s="116">
        <v>0.7737657030535029</v>
      </c>
      <c r="F1305" s="114" t="s">
        <v>1710</v>
      </c>
      <c r="G1305" s="114" t="b">
        <v>0</v>
      </c>
      <c r="H1305" s="114" t="b">
        <v>0</v>
      </c>
      <c r="I1305" s="114" t="b">
        <v>0</v>
      </c>
      <c r="J1305" s="114" t="b">
        <v>0</v>
      </c>
      <c r="K1305" s="114" t="b">
        <v>0</v>
      </c>
      <c r="L1305" s="114" t="b">
        <v>0</v>
      </c>
    </row>
    <row r="1306" spans="1:12" ht="15">
      <c r="A1306" s="114" t="s">
        <v>1941</v>
      </c>
      <c r="B1306" s="114" t="s">
        <v>2001</v>
      </c>
      <c r="C1306" s="114">
        <v>5</v>
      </c>
      <c r="D1306" s="116">
        <v>0.006934901958134628</v>
      </c>
      <c r="E1306" s="116">
        <v>2.157068021742251</v>
      </c>
      <c r="F1306" s="114" t="s">
        <v>1710</v>
      </c>
      <c r="G1306" s="114" t="b">
        <v>0</v>
      </c>
      <c r="H1306" s="114" t="b">
        <v>0</v>
      </c>
      <c r="I1306" s="114" t="b">
        <v>0</v>
      </c>
      <c r="J1306" s="114" t="b">
        <v>0</v>
      </c>
      <c r="K1306" s="114" t="b">
        <v>0</v>
      </c>
      <c r="L1306" s="114" t="b">
        <v>0</v>
      </c>
    </row>
    <row r="1307" spans="1:12" ht="15">
      <c r="A1307" s="114" t="s">
        <v>1823</v>
      </c>
      <c r="B1307" s="114" t="s">
        <v>1740</v>
      </c>
      <c r="C1307" s="114">
        <v>4</v>
      </c>
      <c r="D1307" s="116">
        <v>0.0032143557086473837</v>
      </c>
      <c r="E1307" s="116">
        <v>1.2945958856585713</v>
      </c>
      <c r="F1307" s="114" t="s">
        <v>1710</v>
      </c>
      <c r="G1307" s="114" t="b">
        <v>0</v>
      </c>
      <c r="H1307" s="114" t="b">
        <v>0</v>
      </c>
      <c r="I1307" s="114" t="b">
        <v>0</v>
      </c>
      <c r="J1307" s="114" t="b">
        <v>0</v>
      </c>
      <c r="K1307" s="114" t="b">
        <v>0</v>
      </c>
      <c r="L1307" s="114" t="b">
        <v>0</v>
      </c>
    </row>
    <row r="1308" spans="1:12" ht="15">
      <c r="A1308" s="114" t="s">
        <v>1872</v>
      </c>
      <c r="B1308" s="114" t="s">
        <v>1788</v>
      </c>
      <c r="C1308" s="114">
        <v>4</v>
      </c>
      <c r="D1308" s="116">
        <v>0.005547921566507703</v>
      </c>
      <c r="E1308" s="116">
        <v>2.303196057420489</v>
      </c>
      <c r="F1308" s="114" t="s">
        <v>1710</v>
      </c>
      <c r="G1308" s="114" t="b">
        <v>0</v>
      </c>
      <c r="H1308" s="114" t="b">
        <v>0</v>
      </c>
      <c r="I1308" s="114" t="b">
        <v>0</v>
      </c>
      <c r="J1308" s="114" t="b">
        <v>0</v>
      </c>
      <c r="K1308" s="114" t="b">
        <v>0</v>
      </c>
      <c r="L1308" s="114" t="b">
        <v>0</v>
      </c>
    </row>
    <row r="1309" spans="1:12" ht="15">
      <c r="A1309" s="114" t="s">
        <v>1739</v>
      </c>
      <c r="B1309" s="114" t="s">
        <v>1750</v>
      </c>
      <c r="C1309" s="114">
        <v>4</v>
      </c>
      <c r="D1309" s="116">
        <v>0.0032143557086473837</v>
      </c>
      <c r="E1309" s="116">
        <v>0.7860001594705145</v>
      </c>
      <c r="F1309" s="114" t="s">
        <v>1710</v>
      </c>
      <c r="G1309" s="114" t="b">
        <v>0</v>
      </c>
      <c r="H1309" s="114" t="b">
        <v>0</v>
      </c>
      <c r="I1309" s="114" t="b">
        <v>0</v>
      </c>
      <c r="J1309" s="114" t="b">
        <v>0</v>
      </c>
      <c r="K1309" s="114" t="b">
        <v>0</v>
      </c>
      <c r="L1309" s="114" t="b">
        <v>0</v>
      </c>
    </row>
    <row r="1310" spans="1:12" ht="15">
      <c r="A1310" s="114" t="s">
        <v>1751</v>
      </c>
      <c r="B1310" s="114" t="s">
        <v>1739</v>
      </c>
      <c r="C1310" s="114">
        <v>4</v>
      </c>
      <c r="D1310" s="116">
        <v>0.0032143557086473837</v>
      </c>
      <c r="E1310" s="116">
        <v>0.526494873432078</v>
      </c>
      <c r="F1310" s="114" t="s">
        <v>1710</v>
      </c>
      <c r="G1310" s="114" t="b">
        <v>0</v>
      </c>
      <c r="H1310" s="114" t="b">
        <v>1</v>
      </c>
      <c r="I1310" s="114" t="b">
        <v>0</v>
      </c>
      <c r="J1310" s="114" t="b">
        <v>0</v>
      </c>
      <c r="K1310" s="114" t="b">
        <v>0</v>
      </c>
      <c r="L1310" s="114" t="b">
        <v>0</v>
      </c>
    </row>
    <row r="1311" spans="1:12" ht="15">
      <c r="A1311" s="114" t="s">
        <v>1739</v>
      </c>
      <c r="B1311" s="114" t="s">
        <v>1825</v>
      </c>
      <c r="C1311" s="114">
        <v>4</v>
      </c>
      <c r="D1311" s="116">
        <v>0.0032143557086473837</v>
      </c>
      <c r="E1311" s="116">
        <v>1.029038208156809</v>
      </c>
      <c r="F1311" s="114" t="s">
        <v>1710</v>
      </c>
      <c r="G1311" s="114" t="b">
        <v>0</v>
      </c>
      <c r="H1311" s="114" t="b">
        <v>0</v>
      </c>
      <c r="I1311" s="114" t="b">
        <v>0</v>
      </c>
      <c r="J1311" s="114" t="b">
        <v>0</v>
      </c>
      <c r="K1311" s="114" t="b">
        <v>0</v>
      </c>
      <c r="L1311" s="114" t="b">
        <v>0</v>
      </c>
    </row>
    <row r="1312" spans="1:12" ht="15">
      <c r="A1312" s="114" t="s">
        <v>1740</v>
      </c>
      <c r="B1312" s="114" t="s">
        <v>1744</v>
      </c>
      <c r="C1312" s="114">
        <v>4</v>
      </c>
      <c r="D1312" s="116">
        <v>0.0032143557086473837</v>
      </c>
      <c r="E1312" s="116">
        <v>0.6287942445752072</v>
      </c>
      <c r="F1312" s="114" t="s">
        <v>1710</v>
      </c>
      <c r="G1312" s="114" t="b">
        <v>0</v>
      </c>
      <c r="H1312" s="114" t="b">
        <v>0</v>
      </c>
      <c r="I1312" s="114" t="b">
        <v>0</v>
      </c>
      <c r="J1312" s="114" t="b">
        <v>0</v>
      </c>
      <c r="K1312" s="114" t="b">
        <v>0</v>
      </c>
      <c r="L1312" s="114" t="b">
        <v>0</v>
      </c>
    </row>
    <row r="1313" spans="1:12" ht="15">
      <c r="A1313" s="114" t="s">
        <v>1854</v>
      </c>
      <c r="B1313" s="114" t="s">
        <v>1855</v>
      </c>
      <c r="C1313" s="114">
        <v>4</v>
      </c>
      <c r="D1313" s="116">
        <v>0.004381138637577543</v>
      </c>
      <c r="E1313" s="116">
        <v>2.4001060704285453</v>
      </c>
      <c r="F1313" s="114" t="s">
        <v>1710</v>
      </c>
      <c r="G1313" s="114" t="b">
        <v>0</v>
      </c>
      <c r="H1313" s="114" t="b">
        <v>0</v>
      </c>
      <c r="I1313" s="114" t="b">
        <v>0</v>
      </c>
      <c r="J1313" s="114" t="b">
        <v>0</v>
      </c>
      <c r="K1313" s="114" t="b">
        <v>0</v>
      </c>
      <c r="L1313" s="114" t="b">
        <v>0</v>
      </c>
    </row>
    <row r="1314" spans="1:12" ht="15">
      <c r="A1314" s="114" t="s">
        <v>1739</v>
      </c>
      <c r="B1314" s="114" t="s">
        <v>1741</v>
      </c>
      <c r="C1314" s="114">
        <v>4</v>
      </c>
      <c r="D1314" s="116">
        <v>0.0032143557086473837</v>
      </c>
      <c r="E1314" s="116">
        <v>0.0628964754177763</v>
      </c>
      <c r="F1314" s="114" t="s">
        <v>1710</v>
      </c>
      <c r="G1314" s="114" t="b">
        <v>0</v>
      </c>
      <c r="H1314" s="114" t="b">
        <v>0</v>
      </c>
      <c r="I1314" s="114" t="b">
        <v>0</v>
      </c>
      <c r="J1314" s="114" t="b">
        <v>0</v>
      </c>
      <c r="K1314" s="114" t="b">
        <v>0</v>
      </c>
      <c r="L1314" s="114" t="b">
        <v>0</v>
      </c>
    </row>
    <row r="1315" spans="1:12" ht="15">
      <c r="A1315" s="114" t="s">
        <v>1896</v>
      </c>
      <c r="B1315" s="114" t="s">
        <v>1756</v>
      </c>
      <c r="C1315" s="114">
        <v>4</v>
      </c>
      <c r="D1315" s="116">
        <v>0.004381138637577543</v>
      </c>
      <c r="E1315" s="116">
        <v>1.3209248243809204</v>
      </c>
      <c r="F1315" s="114" t="s">
        <v>1710</v>
      </c>
      <c r="G1315" s="114" t="b">
        <v>0</v>
      </c>
      <c r="H1315" s="114" t="b">
        <v>0</v>
      </c>
      <c r="I1315" s="114" t="b">
        <v>0</v>
      </c>
      <c r="J1315" s="114" t="b">
        <v>0</v>
      </c>
      <c r="K1315" s="114" t="b">
        <v>0</v>
      </c>
      <c r="L1315" s="114" t="b">
        <v>0</v>
      </c>
    </row>
    <row r="1316" spans="1:12" ht="15">
      <c r="A1316" s="114" t="s">
        <v>1896</v>
      </c>
      <c r="B1316" s="114" t="s">
        <v>1740</v>
      </c>
      <c r="C1316" s="114">
        <v>4</v>
      </c>
      <c r="D1316" s="116">
        <v>0.0032143557086473837</v>
      </c>
      <c r="E1316" s="116">
        <v>1.1696571490502714</v>
      </c>
      <c r="F1316" s="114" t="s">
        <v>1710</v>
      </c>
      <c r="G1316" s="114" t="b">
        <v>0</v>
      </c>
      <c r="H1316" s="114" t="b">
        <v>0</v>
      </c>
      <c r="I1316" s="114" t="b">
        <v>0</v>
      </c>
      <c r="J1316" s="114" t="b">
        <v>0</v>
      </c>
      <c r="K1316" s="114" t="b">
        <v>0</v>
      </c>
      <c r="L1316" s="114" t="b">
        <v>0</v>
      </c>
    </row>
    <row r="1317" spans="1:12" ht="15">
      <c r="A1317" s="114" t="s">
        <v>1837</v>
      </c>
      <c r="B1317" s="114" t="s">
        <v>1749</v>
      </c>
      <c r="C1317" s="114">
        <v>4</v>
      </c>
      <c r="D1317" s="116">
        <v>0.005547921566507703</v>
      </c>
      <c r="E1317" s="116">
        <v>1.348953547981164</v>
      </c>
      <c r="F1317" s="114" t="s">
        <v>1710</v>
      </c>
      <c r="G1317" s="114" t="b">
        <v>0</v>
      </c>
      <c r="H1317" s="114" t="b">
        <v>0</v>
      </c>
      <c r="I1317" s="114" t="b">
        <v>0</v>
      </c>
      <c r="J1317" s="114" t="b">
        <v>0</v>
      </c>
      <c r="K1317" s="114" t="b">
        <v>0</v>
      </c>
      <c r="L1317" s="114" t="b">
        <v>0</v>
      </c>
    </row>
    <row r="1318" spans="1:12" ht="15">
      <c r="A1318" s="114" t="s">
        <v>1992</v>
      </c>
      <c r="B1318" s="114" t="s">
        <v>1837</v>
      </c>
      <c r="C1318" s="114">
        <v>4</v>
      </c>
      <c r="D1318" s="116">
        <v>0.005547921566507703</v>
      </c>
      <c r="E1318" s="116">
        <v>2.002166061756508</v>
      </c>
      <c r="F1318" s="114" t="s">
        <v>1710</v>
      </c>
      <c r="G1318" s="114" t="b">
        <v>0</v>
      </c>
      <c r="H1318" s="114" t="b">
        <v>1</v>
      </c>
      <c r="I1318" s="114" t="b">
        <v>0</v>
      </c>
      <c r="J1318" s="114" t="b">
        <v>0</v>
      </c>
      <c r="K1318" s="114" t="b">
        <v>0</v>
      </c>
      <c r="L1318" s="114" t="b">
        <v>0</v>
      </c>
    </row>
    <row r="1319" spans="1:12" ht="15">
      <c r="A1319" s="114" t="s">
        <v>1836</v>
      </c>
      <c r="B1319" s="114" t="s">
        <v>1739</v>
      </c>
      <c r="C1319" s="114">
        <v>4</v>
      </c>
      <c r="D1319" s="116">
        <v>0.005547921566507703</v>
      </c>
      <c r="E1319" s="116">
        <v>0.7373482387469712</v>
      </c>
      <c r="F1319" s="114" t="s">
        <v>1710</v>
      </c>
      <c r="G1319" s="114" t="b">
        <v>0</v>
      </c>
      <c r="H1319" s="114" t="b">
        <v>0</v>
      </c>
      <c r="I1319" s="114" t="b">
        <v>0</v>
      </c>
      <c r="J1319" s="114" t="b">
        <v>0</v>
      </c>
      <c r="K1319" s="114" t="b">
        <v>0</v>
      </c>
      <c r="L1319" s="114" t="b">
        <v>0</v>
      </c>
    </row>
    <row r="1320" spans="1:12" ht="15">
      <c r="A1320" s="114" t="s">
        <v>1743</v>
      </c>
      <c r="B1320" s="114" t="s">
        <v>1741</v>
      </c>
      <c r="C1320" s="114">
        <v>3</v>
      </c>
      <c r="D1320" s="116">
        <v>0.0032858539781831573</v>
      </c>
      <c r="E1320" s="116">
        <v>0.40593561408926915</v>
      </c>
      <c r="F1320" s="114" t="s">
        <v>1710</v>
      </c>
      <c r="G1320" s="114" t="b">
        <v>0</v>
      </c>
      <c r="H1320" s="114" t="b">
        <v>0</v>
      </c>
      <c r="I1320" s="114" t="b">
        <v>0</v>
      </c>
      <c r="J1320" s="114" t="b">
        <v>0</v>
      </c>
      <c r="K1320" s="114" t="b">
        <v>0</v>
      </c>
      <c r="L1320" s="114" t="b">
        <v>0</v>
      </c>
    </row>
    <row r="1321" spans="1:12" ht="15">
      <c r="A1321" s="114" t="s">
        <v>1744</v>
      </c>
      <c r="B1321" s="114" t="s">
        <v>1742</v>
      </c>
      <c r="C1321" s="114">
        <v>3</v>
      </c>
      <c r="D1321" s="116">
        <v>0.0032858539781831573</v>
      </c>
      <c r="E1321" s="116">
        <v>0.5164446352749277</v>
      </c>
      <c r="F1321" s="114" t="s">
        <v>1710</v>
      </c>
      <c r="G1321" s="114" t="b">
        <v>0</v>
      </c>
      <c r="H1321" s="114" t="b">
        <v>0</v>
      </c>
      <c r="I1321" s="114" t="b">
        <v>0</v>
      </c>
      <c r="J1321" s="114" t="b">
        <v>0</v>
      </c>
      <c r="K1321" s="114" t="b">
        <v>0</v>
      </c>
      <c r="L1321" s="114" t="b">
        <v>0</v>
      </c>
    </row>
    <row r="1322" spans="1:12" ht="15">
      <c r="A1322" s="114" t="s">
        <v>1742</v>
      </c>
      <c r="B1322" s="114" t="s">
        <v>2171</v>
      </c>
      <c r="C1322" s="114">
        <v>3</v>
      </c>
      <c r="D1322" s="116">
        <v>0.0032858539781831573</v>
      </c>
      <c r="E1322" s="116">
        <v>1.4706871447142527</v>
      </c>
      <c r="F1322" s="114" t="s">
        <v>1710</v>
      </c>
      <c r="G1322" s="114" t="b">
        <v>0</v>
      </c>
      <c r="H1322" s="114" t="b">
        <v>0</v>
      </c>
      <c r="I1322" s="114" t="b">
        <v>0</v>
      </c>
      <c r="J1322" s="114" t="b">
        <v>0</v>
      </c>
      <c r="K1322" s="114" t="b">
        <v>0</v>
      </c>
      <c r="L1322" s="114" t="b">
        <v>0</v>
      </c>
    </row>
    <row r="1323" spans="1:12" ht="15">
      <c r="A1323" s="114" t="s">
        <v>1741</v>
      </c>
      <c r="B1323" s="114" t="s">
        <v>1741</v>
      </c>
      <c r="C1323" s="114">
        <v>3</v>
      </c>
      <c r="D1323" s="116">
        <v>0.0027739607832538513</v>
      </c>
      <c r="E1323" s="116">
        <v>0.30902560108121263</v>
      </c>
      <c r="F1323" s="114" t="s">
        <v>1710</v>
      </c>
      <c r="G1323" s="114" t="b">
        <v>0</v>
      </c>
      <c r="H1323" s="114" t="b">
        <v>0</v>
      </c>
      <c r="I1323" s="114" t="b">
        <v>0</v>
      </c>
      <c r="J1323" s="114" t="b">
        <v>0</v>
      </c>
      <c r="K1323" s="114" t="b">
        <v>0</v>
      </c>
      <c r="L1323" s="114" t="b">
        <v>0</v>
      </c>
    </row>
    <row r="1324" spans="1:12" ht="15">
      <c r="A1324" s="114" t="s">
        <v>1739</v>
      </c>
      <c r="B1324" s="114" t="s">
        <v>1767</v>
      </c>
      <c r="C1324" s="114">
        <v>3</v>
      </c>
      <c r="D1324" s="116">
        <v>0.0027739607832538513</v>
      </c>
      <c r="E1324" s="116">
        <v>0.7280082124928279</v>
      </c>
      <c r="F1324" s="114" t="s">
        <v>1710</v>
      </c>
      <c r="G1324" s="114" t="b">
        <v>0</v>
      </c>
      <c r="H1324" s="114" t="b">
        <v>0</v>
      </c>
      <c r="I1324" s="114" t="b">
        <v>0</v>
      </c>
      <c r="J1324" s="114" t="b">
        <v>0</v>
      </c>
      <c r="K1324" s="114" t="b">
        <v>0</v>
      </c>
      <c r="L1324" s="114" t="b">
        <v>0</v>
      </c>
    </row>
    <row r="1325" spans="1:12" ht="15">
      <c r="A1325" s="114" t="s">
        <v>1940</v>
      </c>
      <c r="B1325" s="114" t="s">
        <v>2160</v>
      </c>
      <c r="C1325" s="114">
        <v>3</v>
      </c>
      <c r="D1325" s="116">
        <v>0.0032858539781831573</v>
      </c>
      <c r="E1325" s="116">
        <v>2.224014811372864</v>
      </c>
      <c r="F1325" s="114" t="s">
        <v>1710</v>
      </c>
      <c r="G1325" s="114" t="b">
        <v>0</v>
      </c>
      <c r="H1325" s="114" t="b">
        <v>0</v>
      </c>
      <c r="I1325" s="114" t="b">
        <v>0</v>
      </c>
      <c r="J1325" s="114" t="b">
        <v>0</v>
      </c>
      <c r="K1325" s="114" t="b">
        <v>0</v>
      </c>
      <c r="L1325" s="114" t="b">
        <v>0</v>
      </c>
    </row>
    <row r="1326" spans="1:12" ht="15">
      <c r="A1326" s="114" t="s">
        <v>1739</v>
      </c>
      <c r="B1326" s="114" t="s">
        <v>1744</v>
      </c>
      <c r="C1326" s="114">
        <v>3</v>
      </c>
      <c r="D1326" s="116">
        <v>0.0027739607832538513</v>
      </c>
      <c r="E1326" s="116">
        <v>0.07479569871748414</v>
      </c>
      <c r="F1326" s="114" t="s">
        <v>1710</v>
      </c>
      <c r="G1326" s="114" t="b">
        <v>0</v>
      </c>
      <c r="H1326" s="114" t="b">
        <v>0</v>
      </c>
      <c r="I1326" s="114" t="b">
        <v>0</v>
      </c>
      <c r="J1326" s="114" t="b">
        <v>0</v>
      </c>
      <c r="K1326" s="114" t="b">
        <v>0</v>
      </c>
      <c r="L1326" s="114" t="b">
        <v>0</v>
      </c>
    </row>
    <row r="1327" spans="1:12" ht="15">
      <c r="A1327" s="114" t="s">
        <v>1746</v>
      </c>
      <c r="B1327" s="114" t="s">
        <v>1746</v>
      </c>
      <c r="C1327" s="114">
        <v>3</v>
      </c>
      <c r="D1327" s="116">
        <v>0.0027739607832538513</v>
      </c>
      <c r="E1327" s="116">
        <v>1.0710473511643206</v>
      </c>
      <c r="F1327" s="114" t="s">
        <v>1710</v>
      </c>
      <c r="G1327" s="114" t="b">
        <v>0</v>
      </c>
      <c r="H1327" s="114" t="b">
        <v>1</v>
      </c>
      <c r="I1327" s="114" t="b">
        <v>0</v>
      </c>
      <c r="J1327" s="114" t="b">
        <v>0</v>
      </c>
      <c r="K1327" s="114" t="b">
        <v>1</v>
      </c>
      <c r="L1327" s="114" t="b">
        <v>0</v>
      </c>
    </row>
    <row r="1328" spans="1:12" ht="15">
      <c r="A1328" s="114" t="s">
        <v>1746</v>
      </c>
      <c r="B1328" s="114" t="s">
        <v>1751</v>
      </c>
      <c r="C1328" s="114">
        <v>3</v>
      </c>
      <c r="D1328" s="116">
        <v>0.0027739607832538513</v>
      </c>
      <c r="E1328" s="116">
        <v>1.1290392981420072</v>
      </c>
      <c r="F1328" s="114" t="s">
        <v>1710</v>
      </c>
      <c r="G1328" s="114" t="b">
        <v>0</v>
      </c>
      <c r="H1328" s="114" t="b">
        <v>1</v>
      </c>
      <c r="I1328" s="114" t="b">
        <v>0</v>
      </c>
      <c r="J1328" s="114" t="b">
        <v>0</v>
      </c>
      <c r="K1328" s="114" t="b">
        <v>1</v>
      </c>
      <c r="L1328" s="114" t="b">
        <v>0</v>
      </c>
    </row>
    <row r="1329" spans="1:12" ht="15">
      <c r="A1329" s="114" t="s">
        <v>1739</v>
      </c>
      <c r="B1329" s="114" t="s">
        <v>1818</v>
      </c>
      <c r="C1329" s="114">
        <v>3</v>
      </c>
      <c r="D1329" s="116">
        <v>0.0027739607832538513</v>
      </c>
      <c r="E1329" s="116">
        <v>0.904099471548509</v>
      </c>
      <c r="F1329" s="114" t="s">
        <v>1710</v>
      </c>
      <c r="G1329" s="114" t="b">
        <v>0</v>
      </c>
      <c r="H1329" s="114" t="b">
        <v>0</v>
      </c>
      <c r="I1329" s="114" t="b">
        <v>0</v>
      </c>
      <c r="J1329" s="114" t="b">
        <v>0</v>
      </c>
      <c r="K1329" s="114" t="b">
        <v>0</v>
      </c>
      <c r="L1329" s="114" t="b">
        <v>0</v>
      </c>
    </row>
    <row r="1330" spans="1:12" ht="15">
      <c r="A1330" s="114" t="s">
        <v>1818</v>
      </c>
      <c r="B1330" s="114" t="s">
        <v>1739</v>
      </c>
      <c r="C1330" s="114">
        <v>3</v>
      </c>
      <c r="D1330" s="116">
        <v>0.0027739607832538513</v>
      </c>
      <c r="E1330" s="116">
        <v>0.9134394978026525</v>
      </c>
      <c r="F1330" s="114" t="s">
        <v>1710</v>
      </c>
      <c r="G1330" s="114" t="b">
        <v>0</v>
      </c>
      <c r="H1330" s="114" t="b">
        <v>0</v>
      </c>
      <c r="I1330" s="114" t="b">
        <v>0</v>
      </c>
      <c r="J1330" s="114" t="b">
        <v>0</v>
      </c>
      <c r="K1330" s="114" t="b">
        <v>0</v>
      </c>
      <c r="L1330" s="114" t="b">
        <v>0</v>
      </c>
    </row>
    <row r="1331" spans="1:12" ht="15">
      <c r="A1331" s="114" t="s">
        <v>1748</v>
      </c>
      <c r="B1331" s="114" t="s">
        <v>1739</v>
      </c>
      <c r="C1331" s="114">
        <v>3</v>
      </c>
      <c r="D1331" s="116">
        <v>0.0027739607832538513</v>
      </c>
      <c r="E1331" s="116">
        <v>0.6124095021386713</v>
      </c>
      <c r="F1331" s="114" t="s">
        <v>1710</v>
      </c>
      <c r="G1331" s="114" t="b">
        <v>0</v>
      </c>
      <c r="H1331" s="114" t="b">
        <v>0</v>
      </c>
      <c r="I1331" s="114" t="b">
        <v>0</v>
      </c>
      <c r="J1331" s="114" t="b">
        <v>0</v>
      </c>
      <c r="K1331" s="114" t="b">
        <v>0</v>
      </c>
      <c r="L1331" s="114" t="b">
        <v>0</v>
      </c>
    </row>
    <row r="1332" spans="1:12" ht="15">
      <c r="A1332" s="114" t="s">
        <v>1825</v>
      </c>
      <c r="B1332" s="114" t="s">
        <v>1744</v>
      </c>
      <c r="C1332" s="114">
        <v>3</v>
      </c>
      <c r="D1332" s="116">
        <v>0.0027739607832538513</v>
      </c>
      <c r="E1332" s="116">
        <v>1.4458635609892205</v>
      </c>
      <c r="F1332" s="114" t="s">
        <v>1710</v>
      </c>
      <c r="G1332" s="114" t="b">
        <v>0</v>
      </c>
      <c r="H1332" s="114" t="b">
        <v>0</v>
      </c>
      <c r="I1332" s="114" t="b">
        <v>0</v>
      </c>
      <c r="J1332" s="114" t="b">
        <v>0</v>
      </c>
      <c r="K1332" s="114" t="b">
        <v>0</v>
      </c>
      <c r="L1332" s="114" t="b">
        <v>0</v>
      </c>
    </row>
    <row r="1333" spans="1:12" ht="15">
      <c r="A1333" s="114" t="s">
        <v>1744</v>
      </c>
      <c r="B1333" s="114" t="s">
        <v>1740</v>
      </c>
      <c r="C1333" s="114">
        <v>3</v>
      </c>
      <c r="D1333" s="116">
        <v>0.0027739607832538513</v>
      </c>
      <c r="E1333" s="116">
        <v>0.5164446352749277</v>
      </c>
      <c r="F1333" s="114" t="s">
        <v>1710</v>
      </c>
      <c r="G1333" s="114" t="b">
        <v>0</v>
      </c>
      <c r="H1333" s="114" t="b">
        <v>0</v>
      </c>
      <c r="I1333" s="114" t="b">
        <v>0</v>
      </c>
      <c r="J1333" s="114" t="b">
        <v>0</v>
      </c>
      <c r="K1333" s="114" t="b">
        <v>0</v>
      </c>
      <c r="L1333" s="114" t="b">
        <v>0</v>
      </c>
    </row>
    <row r="1334" spans="1:12" ht="15">
      <c r="A1334" s="114" t="s">
        <v>1744</v>
      </c>
      <c r="B1334" s="114" t="s">
        <v>1750</v>
      </c>
      <c r="C1334" s="114">
        <v>3</v>
      </c>
      <c r="D1334" s="116">
        <v>0.0027739607832538513</v>
      </c>
      <c r="E1334" s="116">
        <v>1.202825512302926</v>
      </c>
      <c r="F1334" s="114" t="s">
        <v>1710</v>
      </c>
      <c r="G1334" s="114" t="b">
        <v>0</v>
      </c>
      <c r="H1334" s="114" t="b">
        <v>0</v>
      </c>
      <c r="I1334" s="114" t="b">
        <v>0</v>
      </c>
      <c r="J1334" s="114" t="b">
        <v>0</v>
      </c>
      <c r="K1334" s="114" t="b">
        <v>0</v>
      </c>
      <c r="L1334" s="114" t="b">
        <v>0</v>
      </c>
    </row>
    <row r="1335" spans="1:12" ht="15">
      <c r="A1335" s="114" t="s">
        <v>2173</v>
      </c>
      <c r="B1335" s="114" t="s">
        <v>2066</v>
      </c>
      <c r="C1335" s="114">
        <v>3</v>
      </c>
      <c r="D1335" s="116">
        <v>0.0032858539781831573</v>
      </c>
      <c r="E1335" s="116">
        <v>2.525044807036845</v>
      </c>
      <c r="F1335" s="114" t="s">
        <v>1710</v>
      </c>
      <c r="G1335" s="114" t="b">
        <v>0</v>
      </c>
      <c r="H1335" s="114" t="b">
        <v>0</v>
      </c>
      <c r="I1335" s="114" t="b">
        <v>0</v>
      </c>
      <c r="J1335" s="114" t="b">
        <v>0</v>
      </c>
      <c r="K1335" s="114" t="b">
        <v>0</v>
      </c>
      <c r="L1335" s="114" t="b">
        <v>0</v>
      </c>
    </row>
    <row r="1336" spans="1:12" ht="15">
      <c r="A1336" s="114" t="s">
        <v>1894</v>
      </c>
      <c r="B1336" s="114" t="s">
        <v>2144</v>
      </c>
      <c r="C1336" s="114">
        <v>3</v>
      </c>
      <c r="D1336" s="116">
        <v>0.0032858539781831573</v>
      </c>
      <c r="E1336" s="116">
        <v>2.303196057420489</v>
      </c>
      <c r="F1336" s="114" t="s">
        <v>1710</v>
      </c>
      <c r="G1336" s="114" t="b">
        <v>0</v>
      </c>
      <c r="H1336" s="114" t="b">
        <v>0</v>
      </c>
      <c r="I1336" s="114" t="b">
        <v>0</v>
      </c>
      <c r="J1336" s="114" t="b">
        <v>0</v>
      </c>
      <c r="K1336" s="114" t="b">
        <v>0</v>
      </c>
      <c r="L1336" s="114" t="b">
        <v>0</v>
      </c>
    </row>
    <row r="1337" spans="1:12" ht="15">
      <c r="A1337" s="114" t="s">
        <v>1746</v>
      </c>
      <c r="B1337" s="114" t="s">
        <v>1739</v>
      </c>
      <c r="C1337" s="114">
        <v>3</v>
      </c>
      <c r="D1337" s="116">
        <v>0.0027739607832538513</v>
      </c>
      <c r="E1337" s="116">
        <v>0.31137950647469015</v>
      </c>
      <c r="F1337" s="114" t="s">
        <v>1710</v>
      </c>
      <c r="G1337" s="114" t="b">
        <v>0</v>
      </c>
      <c r="H1337" s="114" t="b">
        <v>1</v>
      </c>
      <c r="I1337" s="114" t="b">
        <v>0</v>
      </c>
      <c r="J1337" s="114" t="b">
        <v>0</v>
      </c>
      <c r="K1337" s="114" t="b">
        <v>0</v>
      </c>
      <c r="L1337" s="114" t="b">
        <v>0</v>
      </c>
    </row>
    <row r="1338" spans="1:12" ht="15">
      <c r="A1338" s="114" t="s">
        <v>1740</v>
      </c>
      <c r="B1338" s="114" t="s">
        <v>1770</v>
      </c>
      <c r="C1338" s="114">
        <v>3</v>
      </c>
      <c r="D1338" s="116">
        <v>0.004160941174880777</v>
      </c>
      <c r="E1338" s="116">
        <v>1.4580980174062321</v>
      </c>
      <c r="F1338" s="114" t="s">
        <v>1710</v>
      </c>
      <c r="G1338" s="114" t="b">
        <v>0</v>
      </c>
      <c r="H1338" s="114" t="b">
        <v>0</v>
      </c>
      <c r="I1338" s="114" t="b">
        <v>0</v>
      </c>
      <c r="J1338" s="114" t="b">
        <v>0</v>
      </c>
      <c r="K1338" s="114" t="b">
        <v>0</v>
      </c>
      <c r="L1338" s="114" t="b">
        <v>0</v>
      </c>
    </row>
    <row r="1339" spans="1:12" ht="15">
      <c r="A1339" s="114" t="s">
        <v>1770</v>
      </c>
      <c r="B1339" s="114" t="s">
        <v>1740</v>
      </c>
      <c r="C1339" s="114">
        <v>3</v>
      </c>
      <c r="D1339" s="116">
        <v>0.004160941174880777</v>
      </c>
      <c r="E1339" s="116">
        <v>1.4706871447142527</v>
      </c>
      <c r="F1339" s="114" t="s">
        <v>1710</v>
      </c>
      <c r="G1339" s="114" t="b">
        <v>0</v>
      </c>
      <c r="H1339" s="114" t="b">
        <v>0</v>
      </c>
      <c r="I1339" s="114" t="b">
        <v>0</v>
      </c>
      <c r="J1339" s="114" t="b">
        <v>0</v>
      </c>
      <c r="K1339" s="114" t="b">
        <v>0</v>
      </c>
      <c r="L1339" s="114" t="b">
        <v>0</v>
      </c>
    </row>
    <row r="1340" spans="1:12" ht="15">
      <c r="A1340" s="114" t="s">
        <v>2154</v>
      </c>
      <c r="B1340" s="114" t="s">
        <v>1995</v>
      </c>
      <c r="C1340" s="114">
        <v>3</v>
      </c>
      <c r="D1340" s="116">
        <v>0.004160941174880777</v>
      </c>
      <c r="E1340" s="116">
        <v>2.303196057420489</v>
      </c>
      <c r="F1340" s="114" t="s">
        <v>1710</v>
      </c>
      <c r="G1340" s="114" t="b">
        <v>0</v>
      </c>
      <c r="H1340" s="114" t="b">
        <v>0</v>
      </c>
      <c r="I1340" s="114" t="b">
        <v>0</v>
      </c>
      <c r="J1340" s="114" t="b">
        <v>0</v>
      </c>
      <c r="K1340" s="114" t="b">
        <v>0</v>
      </c>
      <c r="L1340" s="114" t="b">
        <v>0</v>
      </c>
    </row>
    <row r="1341" spans="1:12" ht="15">
      <c r="A1341" s="114" t="s">
        <v>1739</v>
      </c>
      <c r="B1341" s="114" t="s">
        <v>1747</v>
      </c>
      <c r="C1341" s="114">
        <v>3</v>
      </c>
      <c r="D1341" s="116">
        <v>0.004160941174880777</v>
      </c>
      <c r="E1341" s="116">
        <v>0.39221611056963473</v>
      </c>
      <c r="F1341" s="114" t="s">
        <v>1710</v>
      </c>
      <c r="G1341" s="114" t="b">
        <v>0</v>
      </c>
      <c r="H1341" s="114" t="b">
        <v>0</v>
      </c>
      <c r="I1341" s="114" t="b">
        <v>0</v>
      </c>
      <c r="J1341" s="114" t="b">
        <v>0</v>
      </c>
      <c r="K1341" s="114" t="b">
        <v>0</v>
      </c>
      <c r="L1341" s="114" t="b">
        <v>0</v>
      </c>
    </row>
    <row r="1342" spans="1:12" ht="15">
      <c r="A1342" s="114" t="s">
        <v>1750</v>
      </c>
      <c r="B1342" s="114" t="s">
        <v>1744</v>
      </c>
      <c r="C1342" s="114">
        <v>3</v>
      </c>
      <c r="D1342" s="116">
        <v>0.0027739607832538513</v>
      </c>
      <c r="E1342" s="116">
        <v>1.2697723019335392</v>
      </c>
      <c r="F1342" s="114" t="s">
        <v>1710</v>
      </c>
      <c r="G1342" s="114" t="b">
        <v>0</v>
      </c>
      <c r="H1342" s="114" t="b">
        <v>0</v>
      </c>
      <c r="I1342" s="114" t="b">
        <v>0</v>
      </c>
      <c r="J1342" s="114" t="b">
        <v>0</v>
      </c>
      <c r="K1342" s="114" t="b">
        <v>0</v>
      </c>
      <c r="L1342" s="114" t="b">
        <v>0</v>
      </c>
    </row>
    <row r="1343" spans="1:12" ht="15">
      <c r="A1343" s="114" t="s">
        <v>1749</v>
      </c>
      <c r="B1343" s="114" t="s">
        <v>1837</v>
      </c>
      <c r="C1343" s="114">
        <v>3</v>
      </c>
      <c r="D1343" s="116">
        <v>0.004160941174880777</v>
      </c>
      <c r="E1343" s="116">
        <v>1.200533715523341</v>
      </c>
      <c r="F1343" s="114" t="s">
        <v>1710</v>
      </c>
      <c r="G1343" s="114" t="b">
        <v>0</v>
      </c>
      <c r="H1343" s="114" t="b">
        <v>0</v>
      </c>
      <c r="I1343" s="114" t="b">
        <v>0</v>
      </c>
      <c r="J1343" s="114" t="b">
        <v>0</v>
      </c>
      <c r="K1343" s="114" t="b">
        <v>0</v>
      </c>
      <c r="L1343" s="114" t="b">
        <v>0</v>
      </c>
    </row>
    <row r="1344" spans="1:12" ht="15">
      <c r="A1344" s="114" t="s">
        <v>2149</v>
      </c>
      <c r="B1344" s="114" t="s">
        <v>2150</v>
      </c>
      <c r="C1344" s="114">
        <v>3</v>
      </c>
      <c r="D1344" s="116">
        <v>0.004160941174880777</v>
      </c>
      <c r="E1344" s="116">
        <v>2.525044807036845</v>
      </c>
      <c r="F1344" s="114" t="s">
        <v>1710</v>
      </c>
      <c r="G1344" s="114" t="b">
        <v>0</v>
      </c>
      <c r="H1344" s="114" t="b">
        <v>0</v>
      </c>
      <c r="I1344" s="114" t="b">
        <v>0</v>
      </c>
      <c r="J1344" s="114" t="b">
        <v>0</v>
      </c>
      <c r="K1344" s="114" t="b">
        <v>0</v>
      </c>
      <c r="L1344" s="114" t="b">
        <v>0</v>
      </c>
    </row>
    <row r="1345" spans="1:12" ht="15">
      <c r="A1345" s="114" t="s">
        <v>1739</v>
      </c>
      <c r="B1345" s="114" t="s">
        <v>1836</v>
      </c>
      <c r="C1345" s="114">
        <v>3</v>
      </c>
      <c r="D1345" s="116">
        <v>0.004160941174880777</v>
      </c>
      <c r="E1345" s="116">
        <v>0.5519169534371465</v>
      </c>
      <c r="F1345" s="114" t="s">
        <v>1710</v>
      </c>
      <c r="G1345" s="114" t="b">
        <v>0</v>
      </c>
      <c r="H1345" s="114" t="b">
        <v>0</v>
      </c>
      <c r="I1345" s="114" t="b">
        <v>0</v>
      </c>
      <c r="J1345" s="114" t="b">
        <v>0</v>
      </c>
      <c r="K1345" s="114" t="b">
        <v>0</v>
      </c>
      <c r="L1345" s="114" t="b">
        <v>0</v>
      </c>
    </row>
    <row r="1346" spans="1:12" ht="15">
      <c r="A1346" s="114" t="s">
        <v>1758</v>
      </c>
      <c r="B1346" s="114" t="s">
        <v>2183</v>
      </c>
      <c r="C1346" s="114">
        <v>2</v>
      </c>
      <c r="D1346" s="116">
        <v>0.0027739607832538513</v>
      </c>
      <c r="E1346" s="116">
        <v>2.1271047983648077</v>
      </c>
      <c r="F1346" s="114" t="s">
        <v>1710</v>
      </c>
      <c r="G1346" s="114" t="b">
        <v>0</v>
      </c>
      <c r="H1346" s="114" t="b">
        <v>0</v>
      </c>
      <c r="I1346" s="114" t="b">
        <v>0</v>
      </c>
      <c r="J1346" s="114" t="b">
        <v>0</v>
      </c>
      <c r="K1346" s="114" t="b">
        <v>0</v>
      </c>
      <c r="L1346" s="114" t="b">
        <v>0</v>
      </c>
    </row>
    <row r="1347" spans="1:12" ht="15">
      <c r="A1347" s="114" t="s">
        <v>2183</v>
      </c>
      <c r="B1347" s="114" t="s">
        <v>2184</v>
      </c>
      <c r="C1347" s="114">
        <v>2</v>
      </c>
      <c r="D1347" s="116">
        <v>0.0027739607832538513</v>
      </c>
      <c r="E1347" s="116">
        <v>2.348953547981164</v>
      </c>
      <c r="F1347" s="114" t="s">
        <v>1710</v>
      </c>
      <c r="G1347" s="114" t="b">
        <v>0</v>
      </c>
      <c r="H1347" s="114" t="b">
        <v>0</v>
      </c>
      <c r="I1347" s="114" t="b">
        <v>0</v>
      </c>
      <c r="J1347" s="114" t="b">
        <v>0</v>
      </c>
      <c r="K1347" s="114" t="b">
        <v>0</v>
      </c>
      <c r="L1347" s="114" t="b">
        <v>0</v>
      </c>
    </row>
    <row r="1348" spans="1:12" ht="15">
      <c r="A1348" s="114" t="s">
        <v>1919</v>
      </c>
      <c r="B1348" s="114" t="s">
        <v>1760</v>
      </c>
      <c r="C1348" s="114">
        <v>2</v>
      </c>
      <c r="D1348" s="116">
        <v>0.0027739607832538513</v>
      </c>
      <c r="E1348" s="116">
        <v>1.7011360660925265</v>
      </c>
      <c r="F1348" s="114" t="s">
        <v>1710</v>
      </c>
      <c r="G1348" s="114" t="b">
        <v>0</v>
      </c>
      <c r="H1348" s="114" t="b">
        <v>0</v>
      </c>
      <c r="I1348" s="114" t="b">
        <v>0</v>
      </c>
      <c r="J1348" s="114" t="b">
        <v>0</v>
      </c>
      <c r="K1348" s="114" t="b">
        <v>0</v>
      </c>
      <c r="L1348" s="114" t="b">
        <v>0</v>
      </c>
    </row>
    <row r="1349" spans="1:12" ht="15">
      <c r="A1349" s="114" t="s">
        <v>1760</v>
      </c>
      <c r="B1349" s="114" t="s">
        <v>1758</v>
      </c>
      <c r="C1349" s="114">
        <v>2</v>
      </c>
      <c r="D1349" s="116">
        <v>0.0027739607832538513</v>
      </c>
      <c r="E1349" s="116">
        <v>1.7468935566532016</v>
      </c>
      <c r="F1349" s="114" t="s">
        <v>1710</v>
      </c>
      <c r="G1349" s="114" t="b">
        <v>0</v>
      </c>
      <c r="H1349" s="114" t="b">
        <v>0</v>
      </c>
      <c r="I1349" s="114" t="b">
        <v>0</v>
      </c>
      <c r="J1349" s="114" t="b">
        <v>0</v>
      </c>
      <c r="K1349" s="114" t="b">
        <v>0</v>
      </c>
      <c r="L1349" s="114" t="b">
        <v>0</v>
      </c>
    </row>
    <row r="1350" spans="1:12" ht="15">
      <c r="A1350" s="114" t="s">
        <v>1760</v>
      </c>
      <c r="B1350" s="114" t="s">
        <v>1760</v>
      </c>
      <c r="C1350" s="114">
        <v>2</v>
      </c>
      <c r="D1350" s="116">
        <v>0.0027739607832538513</v>
      </c>
      <c r="E1350" s="116">
        <v>1.348953547981164</v>
      </c>
      <c r="F1350" s="114" t="s">
        <v>1710</v>
      </c>
      <c r="G1350" s="114" t="b">
        <v>0</v>
      </c>
      <c r="H1350" s="114" t="b">
        <v>0</v>
      </c>
      <c r="I1350" s="114" t="b">
        <v>0</v>
      </c>
      <c r="J1350" s="114" t="b">
        <v>0</v>
      </c>
      <c r="K1350" s="114" t="b">
        <v>0</v>
      </c>
      <c r="L1350" s="114" t="b">
        <v>0</v>
      </c>
    </row>
    <row r="1351" spans="1:12" ht="15">
      <c r="A1351" s="114" t="s">
        <v>1760</v>
      </c>
      <c r="B1351" s="114" t="s">
        <v>1741</v>
      </c>
      <c r="C1351" s="114">
        <v>2</v>
      </c>
      <c r="D1351" s="116">
        <v>0.0027739607832538513</v>
      </c>
      <c r="E1351" s="116">
        <v>0.7807518239141689</v>
      </c>
      <c r="F1351" s="114" t="s">
        <v>1710</v>
      </c>
      <c r="G1351" s="114" t="b">
        <v>0</v>
      </c>
      <c r="H1351" s="114" t="b">
        <v>0</v>
      </c>
      <c r="I1351" s="114" t="b">
        <v>0</v>
      </c>
      <c r="J1351" s="114" t="b">
        <v>0</v>
      </c>
      <c r="K1351" s="114" t="b">
        <v>0</v>
      </c>
      <c r="L1351" s="114" t="b">
        <v>0</v>
      </c>
    </row>
    <row r="1352" spans="1:12" ht="15">
      <c r="A1352" s="114" t="s">
        <v>1742</v>
      </c>
      <c r="B1352" s="114" t="s">
        <v>1760</v>
      </c>
      <c r="C1352" s="114">
        <v>2</v>
      </c>
      <c r="D1352" s="116">
        <v>0.0027739607832538513</v>
      </c>
      <c r="E1352" s="116">
        <v>0.7717171403782337</v>
      </c>
      <c r="F1352" s="114" t="s">
        <v>1710</v>
      </c>
      <c r="G1352" s="114" t="b">
        <v>0</v>
      </c>
      <c r="H1352" s="114" t="b">
        <v>0</v>
      </c>
      <c r="I1352" s="114" t="b">
        <v>0</v>
      </c>
      <c r="J1352" s="114" t="b">
        <v>0</v>
      </c>
      <c r="K1352" s="114" t="b">
        <v>0</v>
      </c>
      <c r="L1352" s="114" t="b">
        <v>0</v>
      </c>
    </row>
    <row r="1353" spans="1:12" ht="15">
      <c r="A1353" s="114" t="s">
        <v>1739</v>
      </c>
      <c r="B1353" s="114" t="s">
        <v>1756</v>
      </c>
      <c r="C1353" s="114">
        <v>2</v>
      </c>
      <c r="D1353" s="116">
        <v>0.0021905693187887717</v>
      </c>
      <c r="E1353" s="116">
        <v>-0.05014303789081587</v>
      </c>
      <c r="F1353" s="114" t="s">
        <v>1710</v>
      </c>
      <c r="G1353" s="114" t="b">
        <v>0</v>
      </c>
      <c r="H1353" s="114" t="b">
        <v>0</v>
      </c>
      <c r="I1353" s="114" t="b">
        <v>0</v>
      </c>
      <c r="J1353" s="114" t="b">
        <v>0</v>
      </c>
      <c r="K1353" s="114" t="b">
        <v>0</v>
      </c>
      <c r="L1353" s="114" t="b">
        <v>0</v>
      </c>
    </row>
    <row r="1354" spans="1:12" ht="15">
      <c r="A1354" s="114" t="s">
        <v>1767</v>
      </c>
      <c r="B1354" s="114" t="s">
        <v>1741</v>
      </c>
      <c r="C1354" s="114">
        <v>2</v>
      </c>
      <c r="D1354" s="116">
        <v>0.0021905693187887717</v>
      </c>
      <c r="E1354" s="116">
        <v>0.9568430829698502</v>
      </c>
      <c r="F1354" s="114" t="s">
        <v>1710</v>
      </c>
      <c r="G1354" s="114" t="b">
        <v>0</v>
      </c>
      <c r="H1354" s="114" t="b">
        <v>0</v>
      </c>
      <c r="I1354" s="114" t="b">
        <v>0</v>
      </c>
      <c r="J1354" s="114" t="b">
        <v>0</v>
      </c>
      <c r="K1354" s="114" t="b">
        <v>0</v>
      </c>
      <c r="L1354" s="114" t="b">
        <v>0</v>
      </c>
    </row>
    <row r="1355" spans="1:12" ht="15">
      <c r="A1355" s="114" t="s">
        <v>1743</v>
      </c>
      <c r="B1355" s="114" t="s">
        <v>1780</v>
      </c>
      <c r="C1355" s="114">
        <v>2</v>
      </c>
      <c r="D1355" s="116">
        <v>0.0021905693187887717</v>
      </c>
      <c r="E1355" s="116">
        <v>1.4970160834366018</v>
      </c>
      <c r="F1355" s="114" t="s">
        <v>1710</v>
      </c>
      <c r="G1355" s="114" t="b">
        <v>0</v>
      </c>
      <c r="H1355" s="114" t="b">
        <v>0</v>
      </c>
      <c r="I1355" s="114" t="b">
        <v>0</v>
      </c>
      <c r="J1355" s="114" t="b">
        <v>0</v>
      </c>
      <c r="K1355" s="114" t="b">
        <v>0</v>
      </c>
      <c r="L1355" s="114" t="b">
        <v>0</v>
      </c>
    </row>
    <row r="1356" spans="1:12" ht="15">
      <c r="A1356" s="114" t="s">
        <v>1780</v>
      </c>
      <c r="B1356" s="114" t="s">
        <v>1781</v>
      </c>
      <c r="C1356" s="114">
        <v>2</v>
      </c>
      <c r="D1356" s="116">
        <v>0.0021905693187887717</v>
      </c>
      <c r="E1356" s="116">
        <v>2.7011360660925265</v>
      </c>
      <c r="F1356" s="114" t="s">
        <v>1710</v>
      </c>
      <c r="G1356" s="114" t="b">
        <v>0</v>
      </c>
      <c r="H1356" s="114" t="b">
        <v>0</v>
      </c>
      <c r="I1356" s="114" t="b">
        <v>0</v>
      </c>
      <c r="J1356" s="114" t="b">
        <v>0</v>
      </c>
      <c r="K1356" s="114" t="b">
        <v>0</v>
      </c>
      <c r="L1356" s="114" t="b">
        <v>0</v>
      </c>
    </row>
    <row r="1357" spans="1:12" ht="15">
      <c r="A1357" s="114" t="s">
        <v>1781</v>
      </c>
      <c r="B1357" s="114" t="s">
        <v>2050</v>
      </c>
      <c r="C1357" s="114">
        <v>2</v>
      </c>
      <c r="D1357" s="116">
        <v>0.0021905693187887717</v>
      </c>
      <c r="E1357" s="116">
        <v>2.4001060704285453</v>
      </c>
      <c r="F1357" s="114" t="s">
        <v>1710</v>
      </c>
      <c r="G1357" s="114" t="b">
        <v>0</v>
      </c>
      <c r="H1357" s="114" t="b">
        <v>0</v>
      </c>
      <c r="I1357" s="114" t="b">
        <v>0</v>
      </c>
      <c r="J1357" s="114" t="b">
        <v>0</v>
      </c>
      <c r="K1357" s="114" t="b">
        <v>0</v>
      </c>
      <c r="L1357" s="114" t="b">
        <v>0</v>
      </c>
    </row>
    <row r="1358" spans="1:12" ht="15">
      <c r="A1358" s="114" t="s">
        <v>2050</v>
      </c>
      <c r="B1358" s="114" t="s">
        <v>1997</v>
      </c>
      <c r="C1358" s="114">
        <v>2</v>
      </c>
      <c r="D1358" s="116">
        <v>0.0021905693187887717</v>
      </c>
      <c r="E1358" s="116">
        <v>2.224014811372864</v>
      </c>
      <c r="F1358" s="114" t="s">
        <v>1710</v>
      </c>
      <c r="G1358" s="114" t="b">
        <v>0</v>
      </c>
      <c r="H1358" s="114" t="b">
        <v>0</v>
      </c>
      <c r="I1358" s="114" t="b">
        <v>0</v>
      </c>
      <c r="J1358" s="114" t="b">
        <v>0</v>
      </c>
      <c r="K1358" s="114" t="b">
        <v>0</v>
      </c>
      <c r="L1358" s="114" t="b">
        <v>0</v>
      </c>
    </row>
    <row r="1359" spans="1:12" ht="15">
      <c r="A1359" s="114" t="s">
        <v>1869</v>
      </c>
      <c r="B1359" s="114" t="s">
        <v>1870</v>
      </c>
      <c r="C1359" s="114">
        <v>2</v>
      </c>
      <c r="D1359" s="116">
        <v>0.0021905693187887717</v>
      </c>
      <c r="E1359" s="116">
        <v>2.7011360660925265</v>
      </c>
      <c r="F1359" s="114" t="s">
        <v>1710</v>
      </c>
      <c r="G1359" s="114" t="b">
        <v>0</v>
      </c>
      <c r="H1359" s="114" t="b">
        <v>0</v>
      </c>
      <c r="I1359" s="114" t="b">
        <v>0</v>
      </c>
      <c r="J1359" s="114" t="b">
        <v>0</v>
      </c>
      <c r="K1359" s="114" t="b">
        <v>0</v>
      </c>
      <c r="L1359" s="114" t="b">
        <v>0</v>
      </c>
    </row>
    <row r="1360" spans="1:12" ht="15">
      <c r="A1360" s="114" t="s">
        <v>1870</v>
      </c>
      <c r="B1360" s="114" t="s">
        <v>1899</v>
      </c>
      <c r="C1360" s="114">
        <v>2</v>
      </c>
      <c r="D1360" s="116">
        <v>0.0021905693187887717</v>
      </c>
      <c r="E1360" s="116">
        <v>2.0479235523171826</v>
      </c>
      <c r="F1360" s="114" t="s">
        <v>1710</v>
      </c>
      <c r="G1360" s="114" t="b">
        <v>0</v>
      </c>
      <c r="H1360" s="114" t="b">
        <v>0</v>
      </c>
      <c r="I1360" s="114" t="b">
        <v>0</v>
      </c>
      <c r="J1360" s="114" t="b">
        <v>0</v>
      </c>
      <c r="K1360" s="114" t="b">
        <v>0</v>
      </c>
      <c r="L1360" s="114" t="b">
        <v>0</v>
      </c>
    </row>
    <row r="1361" spans="1:12" ht="15">
      <c r="A1361" s="114" t="s">
        <v>1899</v>
      </c>
      <c r="B1361" s="114" t="s">
        <v>1847</v>
      </c>
      <c r="C1361" s="114">
        <v>2</v>
      </c>
      <c r="D1361" s="116">
        <v>0.0021905693187887717</v>
      </c>
      <c r="E1361" s="116">
        <v>1.922984815708883</v>
      </c>
      <c r="F1361" s="114" t="s">
        <v>1710</v>
      </c>
      <c r="G1361" s="114" t="b">
        <v>0</v>
      </c>
      <c r="H1361" s="114" t="b">
        <v>0</v>
      </c>
      <c r="I1361" s="114" t="b">
        <v>0</v>
      </c>
      <c r="J1361" s="114" t="b">
        <v>0</v>
      </c>
      <c r="K1361" s="114" t="b">
        <v>0</v>
      </c>
      <c r="L1361" s="114" t="b">
        <v>0</v>
      </c>
    </row>
    <row r="1362" spans="1:12" ht="15">
      <c r="A1362" s="114" t="s">
        <v>1847</v>
      </c>
      <c r="B1362" s="114" t="s">
        <v>1787</v>
      </c>
      <c r="C1362" s="114">
        <v>2</v>
      </c>
      <c r="D1362" s="116">
        <v>0.0021905693187887717</v>
      </c>
      <c r="E1362" s="116">
        <v>1.922984815708883</v>
      </c>
      <c r="F1362" s="114" t="s">
        <v>1710</v>
      </c>
      <c r="G1362" s="114" t="b">
        <v>0</v>
      </c>
      <c r="H1362" s="114" t="b">
        <v>0</v>
      </c>
      <c r="I1362" s="114" t="b">
        <v>0</v>
      </c>
      <c r="J1362" s="114" t="b">
        <v>0</v>
      </c>
      <c r="K1362" s="114" t="b">
        <v>0</v>
      </c>
      <c r="L1362" s="114" t="b">
        <v>0</v>
      </c>
    </row>
    <row r="1363" spans="1:12" ht="15">
      <c r="A1363" s="114" t="s">
        <v>1784</v>
      </c>
      <c r="B1363" s="114" t="s">
        <v>1756</v>
      </c>
      <c r="C1363" s="114">
        <v>2</v>
      </c>
      <c r="D1363" s="116">
        <v>0.0021905693187887717</v>
      </c>
      <c r="E1363" s="116">
        <v>1.4458635609892203</v>
      </c>
      <c r="F1363" s="114" t="s">
        <v>1710</v>
      </c>
      <c r="G1363" s="114" t="b">
        <v>0</v>
      </c>
      <c r="H1363" s="114" t="b">
        <v>0</v>
      </c>
      <c r="I1363" s="114" t="b">
        <v>0</v>
      </c>
      <c r="J1363" s="114" t="b">
        <v>0</v>
      </c>
      <c r="K1363" s="114" t="b">
        <v>0</v>
      </c>
      <c r="L1363" s="114" t="b">
        <v>0</v>
      </c>
    </row>
    <row r="1364" spans="1:12" ht="15">
      <c r="A1364" s="114" t="s">
        <v>2342</v>
      </c>
      <c r="B1364" s="114" t="s">
        <v>2181</v>
      </c>
      <c r="C1364" s="114">
        <v>2</v>
      </c>
      <c r="D1364" s="116">
        <v>0.0027739607832538513</v>
      </c>
      <c r="E1364" s="116">
        <v>2.525044807036845</v>
      </c>
      <c r="F1364" s="114" t="s">
        <v>1710</v>
      </c>
      <c r="G1364" s="114" t="b">
        <v>0</v>
      </c>
      <c r="H1364" s="114" t="b">
        <v>0</v>
      </c>
      <c r="I1364" s="114" t="b">
        <v>0</v>
      </c>
      <c r="J1364" s="114" t="b">
        <v>0</v>
      </c>
      <c r="K1364" s="114" t="b">
        <v>0</v>
      </c>
      <c r="L1364" s="114" t="b">
        <v>0</v>
      </c>
    </row>
    <row r="1365" spans="1:12" ht="15">
      <c r="A1365" s="114" t="s">
        <v>1777</v>
      </c>
      <c r="B1365" s="114" t="s">
        <v>1748</v>
      </c>
      <c r="C1365" s="114">
        <v>2</v>
      </c>
      <c r="D1365" s="116">
        <v>0.0021905693187887717</v>
      </c>
      <c r="E1365" s="116">
        <v>1.8718322932615015</v>
      </c>
      <c r="F1365" s="114" t="s">
        <v>1710</v>
      </c>
      <c r="G1365" s="114" t="b">
        <v>0</v>
      </c>
      <c r="H1365" s="114" t="b">
        <v>0</v>
      </c>
      <c r="I1365" s="114" t="b">
        <v>0</v>
      </c>
      <c r="J1365" s="114" t="b">
        <v>0</v>
      </c>
      <c r="K1365" s="114" t="b">
        <v>0</v>
      </c>
      <c r="L1365" s="114" t="b">
        <v>0</v>
      </c>
    </row>
    <row r="1366" spans="1:12" ht="15">
      <c r="A1366" s="114" t="s">
        <v>1740</v>
      </c>
      <c r="B1366" s="114" t="s">
        <v>1823</v>
      </c>
      <c r="C1366" s="114">
        <v>2</v>
      </c>
      <c r="D1366" s="116">
        <v>0.0021905693187887717</v>
      </c>
      <c r="E1366" s="116">
        <v>0.9809767626865696</v>
      </c>
      <c r="F1366" s="114" t="s">
        <v>1710</v>
      </c>
      <c r="G1366" s="114" t="b">
        <v>0</v>
      </c>
      <c r="H1366" s="114" t="b">
        <v>0</v>
      </c>
      <c r="I1366" s="114" t="b">
        <v>0</v>
      </c>
      <c r="J1366" s="114" t="b">
        <v>0</v>
      </c>
      <c r="K1366" s="114" t="b">
        <v>0</v>
      </c>
      <c r="L1366" s="114" t="b">
        <v>0</v>
      </c>
    </row>
    <row r="1367" spans="1:12" ht="15">
      <c r="A1367" s="114" t="s">
        <v>1823</v>
      </c>
      <c r="B1367" s="114" t="s">
        <v>1823</v>
      </c>
      <c r="C1367" s="114">
        <v>2</v>
      </c>
      <c r="D1367" s="116">
        <v>0.0021905693187887717</v>
      </c>
      <c r="E1367" s="116">
        <v>1.7468935566532016</v>
      </c>
      <c r="F1367" s="114" t="s">
        <v>1710</v>
      </c>
      <c r="G1367" s="114" t="b">
        <v>0</v>
      </c>
      <c r="H1367" s="114" t="b">
        <v>0</v>
      </c>
      <c r="I1367" s="114" t="b">
        <v>0</v>
      </c>
      <c r="J1367" s="114" t="b">
        <v>0</v>
      </c>
      <c r="K1367" s="114" t="b">
        <v>0</v>
      </c>
      <c r="L1367" s="114" t="b">
        <v>0</v>
      </c>
    </row>
    <row r="1368" spans="1:12" ht="15">
      <c r="A1368" s="114" t="s">
        <v>1740</v>
      </c>
      <c r="B1368" s="114" t="s">
        <v>1805</v>
      </c>
      <c r="C1368" s="114">
        <v>2</v>
      </c>
      <c r="D1368" s="116">
        <v>0.0021905693187887717</v>
      </c>
      <c r="E1368" s="116">
        <v>0.6799467670225884</v>
      </c>
      <c r="F1368" s="114" t="s">
        <v>1710</v>
      </c>
      <c r="G1368" s="114" t="b">
        <v>0</v>
      </c>
      <c r="H1368" s="114" t="b">
        <v>0</v>
      </c>
      <c r="I1368" s="114" t="b">
        <v>0</v>
      </c>
      <c r="J1368" s="114" t="b">
        <v>0</v>
      </c>
      <c r="K1368" s="114" t="b">
        <v>0</v>
      </c>
      <c r="L1368" s="114" t="b">
        <v>0</v>
      </c>
    </row>
    <row r="1369" spans="1:12" ht="15">
      <c r="A1369" s="114" t="s">
        <v>1805</v>
      </c>
      <c r="B1369" s="114" t="s">
        <v>1899</v>
      </c>
      <c r="C1369" s="114">
        <v>2</v>
      </c>
      <c r="D1369" s="116">
        <v>0.0021905693187887717</v>
      </c>
      <c r="E1369" s="116">
        <v>1.2697723019335392</v>
      </c>
      <c r="F1369" s="114" t="s">
        <v>1710</v>
      </c>
      <c r="G1369" s="114" t="b">
        <v>0</v>
      </c>
      <c r="H1369" s="114" t="b">
        <v>0</v>
      </c>
      <c r="I1369" s="114" t="b">
        <v>0</v>
      </c>
      <c r="J1369" s="114" t="b">
        <v>0</v>
      </c>
      <c r="K1369" s="114" t="b">
        <v>0</v>
      </c>
      <c r="L1369" s="114" t="b">
        <v>0</v>
      </c>
    </row>
    <row r="1370" spans="1:12" ht="15">
      <c r="A1370" s="114" t="s">
        <v>1899</v>
      </c>
      <c r="B1370" s="114" t="s">
        <v>1875</v>
      </c>
      <c r="C1370" s="114">
        <v>2</v>
      </c>
      <c r="D1370" s="116">
        <v>0.0021905693187887717</v>
      </c>
      <c r="E1370" s="116">
        <v>2.099076074764564</v>
      </c>
      <c r="F1370" s="114" t="s">
        <v>1710</v>
      </c>
      <c r="G1370" s="114" t="b">
        <v>0</v>
      </c>
      <c r="H1370" s="114" t="b">
        <v>0</v>
      </c>
      <c r="I1370" s="114" t="b">
        <v>0</v>
      </c>
      <c r="J1370" s="114" t="b">
        <v>0</v>
      </c>
      <c r="K1370" s="114" t="b">
        <v>0</v>
      </c>
      <c r="L1370" s="114" t="b">
        <v>0</v>
      </c>
    </row>
    <row r="1371" spans="1:12" ht="15">
      <c r="A1371" s="114" t="s">
        <v>1816</v>
      </c>
      <c r="B1371" s="114" t="s">
        <v>1739</v>
      </c>
      <c r="C1371" s="114">
        <v>2</v>
      </c>
      <c r="D1371" s="116">
        <v>0.0021905693187887717</v>
      </c>
      <c r="E1371" s="116">
        <v>0.7373482387469712</v>
      </c>
      <c r="F1371" s="114" t="s">
        <v>1710</v>
      </c>
      <c r="G1371" s="114" t="b">
        <v>0</v>
      </c>
      <c r="H1371" s="114" t="b">
        <v>0</v>
      </c>
      <c r="I1371" s="114" t="b">
        <v>0</v>
      </c>
      <c r="J1371" s="114" t="b">
        <v>0</v>
      </c>
      <c r="K1371" s="114" t="b">
        <v>0</v>
      </c>
      <c r="L1371" s="114" t="b">
        <v>0</v>
      </c>
    </row>
    <row r="1372" spans="1:12" ht="15">
      <c r="A1372" s="114" t="s">
        <v>1742</v>
      </c>
      <c r="B1372" s="114" t="s">
        <v>2045</v>
      </c>
      <c r="C1372" s="114">
        <v>2</v>
      </c>
      <c r="D1372" s="116">
        <v>0.0027739607832538513</v>
      </c>
      <c r="E1372" s="116">
        <v>1.1696571490502714</v>
      </c>
      <c r="F1372" s="114" t="s">
        <v>1710</v>
      </c>
      <c r="G1372" s="114" t="b">
        <v>0</v>
      </c>
      <c r="H1372" s="114" t="b">
        <v>0</v>
      </c>
      <c r="I1372" s="114" t="b">
        <v>0</v>
      </c>
      <c r="J1372" s="114" t="b">
        <v>0</v>
      </c>
      <c r="K1372" s="114" t="b">
        <v>0</v>
      </c>
      <c r="L1372" s="114" t="b">
        <v>0</v>
      </c>
    </row>
    <row r="1373" spans="1:12" ht="15">
      <c r="A1373" s="114" t="s">
        <v>2045</v>
      </c>
      <c r="B1373" s="114" t="s">
        <v>1739</v>
      </c>
      <c r="C1373" s="114">
        <v>2</v>
      </c>
      <c r="D1373" s="116">
        <v>0.0027739607832538513</v>
      </c>
      <c r="E1373" s="116">
        <v>0.7373482387469712</v>
      </c>
      <c r="F1373" s="114" t="s">
        <v>1710</v>
      </c>
      <c r="G1373" s="114" t="b">
        <v>0</v>
      </c>
      <c r="H1373" s="114" t="b">
        <v>0</v>
      </c>
      <c r="I1373" s="114" t="b">
        <v>0</v>
      </c>
      <c r="J1373" s="114" t="b">
        <v>0</v>
      </c>
      <c r="K1373" s="114" t="b">
        <v>0</v>
      </c>
      <c r="L1373" s="114" t="b">
        <v>0</v>
      </c>
    </row>
    <row r="1374" spans="1:12" ht="15">
      <c r="A1374" s="114" t="s">
        <v>1739</v>
      </c>
      <c r="B1374" s="114" t="s">
        <v>2045</v>
      </c>
      <c r="C1374" s="114">
        <v>2</v>
      </c>
      <c r="D1374" s="116">
        <v>0.0027739607832538513</v>
      </c>
      <c r="E1374" s="116">
        <v>0.7280082124928278</v>
      </c>
      <c r="F1374" s="114" t="s">
        <v>1710</v>
      </c>
      <c r="G1374" s="114" t="b">
        <v>0</v>
      </c>
      <c r="H1374" s="114" t="b">
        <v>0</v>
      </c>
      <c r="I1374" s="114" t="b">
        <v>0</v>
      </c>
      <c r="J1374" s="114" t="b">
        <v>0</v>
      </c>
      <c r="K1374" s="114" t="b">
        <v>0</v>
      </c>
      <c r="L1374" s="114" t="b">
        <v>0</v>
      </c>
    </row>
    <row r="1375" spans="1:12" ht="15">
      <c r="A1375" s="114" t="s">
        <v>1750</v>
      </c>
      <c r="B1375" s="114" t="s">
        <v>1739</v>
      </c>
      <c r="C1375" s="114">
        <v>2</v>
      </c>
      <c r="D1375" s="116">
        <v>0.0021905693187887717</v>
      </c>
      <c r="E1375" s="116">
        <v>0.56125697969129</v>
      </c>
      <c r="F1375" s="114" t="s">
        <v>1710</v>
      </c>
      <c r="G1375" s="114" t="b">
        <v>0</v>
      </c>
      <c r="H1375" s="114" t="b">
        <v>0</v>
      </c>
      <c r="I1375" s="114" t="b">
        <v>0</v>
      </c>
      <c r="J1375" s="114" t="b">
        <v>0</v>
      </c>
      <c r="K1375" s="114" t="b">
        <v>0</v>
      </c>
      <c r="L1375" s="114" t="b">
        <v>0</v>
      </c>
    </row>
    <row r="1376" spans="1:12" ht="15">
      <c r="A1376" s="114" t="s">
        <v>1751</v>
      </c>
      <c r="B1376" s="114" t="s">
        <v>1744</v>
      </c>
      <c r="C1376" s="114">
        <v>2</v>
      </c>
      <c r="D1376" s="116">
        <v>0.0021905693187887717</v>
      </c>
      <c r="E1376" s="116">
        <v>0.7578889409546647</v>
      </c>
      <c r="F1376" s="114" t="s">
        <v>1710</v>
      </c>
      <c r="G1376" s="114" t="b">
        <v>0</v>
      </c>
      <c r="H1376" s="114" t="b">
        <v>1</v>
      </c>
      <c r="I1376" s="114" t="b">
        <v>0</v>
      </c>
      <c r="J1376" s="114" t="b">
        <v>0</v>
      </c>
      <c r="K1376" s="114" t="b">
        <v>0</v>
      </c>
      <c r="L1376" s="114" t="b">
        <v>0</v>
      </c>
    </row>
    <row r="1377" spans="1:12" ht="15">
      <c r="A1377" s="114" t="s">
        <v>1787</v>
      </c>
      <c r="B1377" s="114" t="s">
        <v>1747</v>
      </c>
      <c r="C1377" s="114">
        <v>2</v>
      </c>
      <c r="D1377" s="116">
        <v>0.0021905693187887717</v>
      </c>
      <c r="E1377" s="116">
        <v>1.3441546650993952</v>
      </c>
      <c r="F1377" s="114" t="s">
        <v>1710</v>
      </c>
      <c r="G1377" s="114" t="b">
        <v>0</v>
      </c>
      <c r="H1377" s="114" t="b">
        <v>0</v>
      </c>
      <c r="I1377" s="114" t="b">
        <v>0</v>
      </c>
      <c r="J1377" s="114" t="b">
        <v>0</v>
      </c>
      <c r="K1377" s="114" t="b">
        <v>0</v>
      </c>
      <c r="L1377" s="114" t="b">
        <v>0</v>
      </c>
    </row>
    <row r="1378" spans="1:12" ht="15">
      <c r="A1378" s="114" t="s">
        <v>1855</v>
      </c>
      <c r="B1378" s="114" t="s">
        <v>1854</v>
      </c>
      <c r="C1378" s="114">
        <v>2</v>
      </c>
      <c r="D1378" s="116">
        <v>0.0021905693187887717</v>
      </c>
      <c r="E1378" s="116">
        <v>2.4001060704285453</v>
      </c>
      <c r="F1378" s="114" t="s">
        <v>1710</v>
      </c>
      <c r="G1378" s="114" t="b">
        <v>0</v>
      </c>
      <c r="H1378" s="114" t="b">
        <v>0</v>
      </c>
      <c r="I1378" s="114" t="b">
        <v>0</v>
      </c>
      <c r="J1378" s="114" t="b">
        <v>0</v>
      </c>
      <c r="K1378" s="114" t="b">
        <v>0</v>
      </c>
      <c r="L1378" s="114" t="b">
        <v>0</v>
      </c>
    </row>
    <row r="1379" spans="1:12" ht="15">
      <c r="A1379" s="114" t="s">
        <v>1855</v>
      </c>
      <c r="B1379" s="114" t="s">
        <v>1805</v>
      </c>
      <c r="C1379" s="114">
        <v>2</v>
      </c>
      <c r="D1379" s="116">
        <v>0.0021905693187887717</v>
      </c>
      <c r="E1379" s="116">
        <v>1.6219548200449017</v>
      </c>
      <c r="F1379" s="114" t="s">
        <v>1710</v>
      </c>
      <c r="G1379" s="114" t="b">
        <v>0</v>
      </c>
      <c r="H1379" s="114" t="b">
        <v>0</v>
      </c>
      <c r="I1379" s="114" t="b">
        <v>0</v>
      </c>
      <c r="J1379" s="114" t="b">
        <v>0</v>
      </c>
      <c r="K1379" s="114" t="b">
        <v>0</v>
      </c>
      <c r="L1379" s="114" t="b">
        <v>0</v>
      </c>
    </row>
    <row r="1380" spans="1:12" ht="15">
      <c r="A1380" s="114" t="s">
        <v>1805</v>
      </c>
      <c r="B1380" s="114" t="s">
        <v>2052</v>
      </c>
      <c r="C1380" s="114">
        <v>2</v>
      </c>
      <c r="D1380" s="116">
        <v>0.0021905693187887717</v>
      </c>
      <c r="E1380" s="116">
        <v>1.922984815708883</v>
      </c>
      <c r="F1380" s="114" t="s">
        <v>1710</v>
      </c>
      <c r="G1380" s="114" t="b">
        <v>0</v>
      </c>
      <c r="H1380" s="114" t="b">
        <v>0</v>
      </c>
      <c r="I1380" s="114" t="b">
        <v>0</v>
      </c>
      <c r="J1380" s="114" t="b">
        <v>0</v>
      </c>
      <c r="K1380" s="114" t="b">
        <v>0</v>
      </c>
      <c r="L1380" s="114" t="b">
        <v>0</v>
      </c>
    </row>
    <row r="1381" spans="1:12" ht="15">
      <c r="A1381" s="114" t="s">
        <v>2052</v>
      </c>
      <c r="B1381" s="114" t="s">
        <v>2053</v>
      </c>
      <c r="C1381" s="114">
        <v>2</v>
      </c>
      <c r="D1381" s="116">
        <v>0.0021905693187887717</v>
      </c>
      <c r="E1381" s="116">
        <v>2.7011360660925265</v>
      </c>
      <c r="F1381" s="114" t="s">
        <v>1710</v>
      </c>
      <c r="G1381" s="114" t="b">
        <v>0</v>
      </c>
      <c r="H1381" s="114" t="b">
        <v>0</v>
      </c>
      <c r="I1381" s="114" t="b">
        <v>0</v>
      </c>
      <c r="J1381" s="114" t="b">
        <v>0</v>
      </c>
      <c r="K1381" s="114" t="b">
        <v>0</v>
      </c>
      <c r="L1381" s="114" t="b">
        <v>0</v>
      </c>
    </row>
    <row r="1382" spans="1:12" ht="15">
      <c r="A1382" s="114" t="s">
        <v>2053</v>
      </c>
      <c r="B1382" s="114" t="s">
        <v>2054</v>
      </c>
      <c r="C1382" s="114">
        <v>2</v>
      </c>
      <c r="D1382" s="116">
        <v>0.0021905693187887717</v>
      </c>
      <c r="E1382" s="116">
        <v>2.7011360660925265</v>
      </c>
      <c r="F1382" s="114" t="s">
        <v>1710</v>
      </c>
      <c r="G1382" s="114" t="b">
        <v>0</v>
      </c>
      <c r="H1382" s="114" t="b">
        <v>0</v>
      </c>
      <c r="I1382" s="114" t="b">
        <v>0</v>
      </c>
      <c r="J1382" s="114" t="b">
        <v>0</v>
      </c>
      <c r="K1382" s="114" t="b">
        <v>0</v>
      </c>
      <c r="L1382" s="114" t="b">
        <v>0</v>
      </c>
    </row>
    <row r="1383" spans="1:12" ht="15">
      <c r="A1383" s="114" t="s">
        <v>2054</v>
      </c>
      <c r="B1383" s="114" t="s">
        <v>2055</v>
      </c>
      <c r="C1383" s="114">
        <v>2</v>
      </c>
      <c r="D1383" s="116">
        <v>0.0021905693187887717</v>
      </c>
      <c r="E1383" s="116">
        <v>2.7011360660925265</v>
      </c>
      <c r="F1383" s="114" t="s">
        <v>1710</v>
      </c>
      <c r="G1383" s="114" t="b">
        <v>0</v>
      </c>
      <c r="H1383" s="114" t="b">
        <v>0</v>
      </c>
      <c r="I1383" s="114" t="b">
        <v>0</v>
      </c>
      <c r="J1383" s="114" t="b">
        <v>0</v>
      </c>
      <c r="K1383" s="114" t="b">
        <v>0</v>
      </c>
      <c r="L1383" s="114" t="b">
        <v>0</v>
      </c>
    </row>
    <row r="1384" spans="1:12" ht="15">
      <c r="A1384" s="114" t="s">
        <v>2055</v>
      </c>
      <c r="B1384" s="114" t="s">
        <v>2161</v>
      </c>
      <c r="C1384" s="114">
        <v>2</v>
      </c>
      <c r="D1384" s="116">
        <v>0.0021905693187887717</v>
      </c>
      <c r="E1384" s="116">
        <v>2.7011360660925265</v>
      </c>
      <c r="F1384" s="114" t="s">
        <v>1710</v>
      </c>
      <c r="G1384" s="114" t="b">
        <v>0</v>
      </c>
      <c r="H1384" s="114" t="b">
        <v>0</v>
      </c>
      <c r="I1384" s="114" t="b">
        <v>0</v>
      </c>
      <c r="J1384" s="114" t="b">
        <v>0</v>
      </c>
      <c r="K1384" s="114" t="b">
        <v>0</v>
      </c>
      <c r="L1384" s="114" t="b">
        <v>0</v>
      </c>
    </row>
    <row r="1385" spans="1:12" ht="15">
      <c r="A1385" s="114" t="s">
        <v>2161</v>
      </c>
      <c r="B1385" s="114" t="s">
        <v>2162</v>
      </c>
      <c r="C1385" s="114">
        <v>2</v>
      </c>
      <c r="D1385" s="116">
        <v>0.0021905693187887717</v>
      </c>
      <c r="E1385" s="116">
        <v>2.7011360660925265</v>
      </c>
      <c r="F1385" s="114" t="s">
        <v>1710</v>
      </c>
      <c r="G1385" s="114" t="b">
        <v>0</v>
      </c>
      <c r="H1385" s="114" t="b">
        <v>0</v>
      </c>
      <c r="I1385" s="114" t="b">
        <v>0</v>
      </c>
      <c r="J1385" s="114" t="b">
        <v>0</v>
      </c>
      <c r="K1385" s="114" t="b">
        <v>0</v>
      </c>
      <c r="L1385" s="114" t="b">
        <v>0</v>
      </c>
    </row>
    <row r="1386" spans="1:12" ht="15">
      <c r="A1386" s="114" t="s">
        <v>2162</v>
      </c>
      <c r="B1386" s="114" t="s">
        <v>2056</v>
      </c>
      <c r="C1386" s="114">
        <v>2</v>
      </c>
      <c r="D1386" s="116">
        <v>0.0021905693187887717</v>
      </c>
      <c r="E1386" s="116">
        <v>2.7011360660925265</v>
      </c>
      <c r="F1386" s="114" t="s">
        <v>1710</v>
      </c>
      <c r="G1386" s="114" t="b">
        <v>0</v>
      </c>
      <c r="H1386" s="114" t="b">
        <v>0</v>
      </c>
      <c r="I1386" s="114" t="b">
        <v>0</v>
      </c>
      <c r="J1386" s="114" t="b">
        <v>0</v>
      </c>
      <c r="K1386" s="114" t="b">
        <v>0</v>
      </c>
      <c r="L1386" s="114" t="b">
        <v>0</v>
      </c>
    </row>
    <row r="1387" spans="1:12" ht="15">
      <c r="A1387" s="114" t="s">
        <v>2056</v>
      </c>
      <c r="B1387" s="114" t="s">
        <v>2057</v>
      </c>
      <c r="C1387" s="114">
        <v>2</v>
      </c>
      <c r="D1387" s="116">
        <v>0.0021905693187887717</v>
      </c>
      <c r="E1387" s="116">
        <v>2.7011360660925265</v>
      </c>
      <c r="F1387" s="114" t="s">
        <v>1710</v>
      </c>
      <c r="G1387" s="114" t="b">
        <v>0</v>
      </c>
      <c r="H1387" s="114" t="b">
        <v>0</v>
      </c>
      <c r="I1387" s="114" t="b">
        <v>0</v>
      </c>
      <c r="J1387" s="114" t="b">
        <v>0</v>
      </c>
      <c r="K1387" s="114" t="b">
        <v>0</v>
      </c>
      <c r="L1387" s="114" t="b">
        <v>0</v>
      </c>
    </row>
    <row r="1388" spans="1:12" ht="15">
      <c r="A1388" s="114" t="s">
        <v>2057</v>
      </c>
      <c r="B1388" s="114" t="s">
        <v>2058</v>
      </c>
      <c r="C1388" s="114">
        <v>2</v>
      </c>
      <c r="D1388" s="116">
        <v>0.0021905693187887717</v>
      </c>
      <c r="E1388" s="116">
        <v>2.7011360660925265</v>
      </c>
      <c r="F1388" s="114" t="s">
        <v>1710</v>
      </c>
      <c r="G1388" s="114" t="b">
        <v>0</v>
      </c>
      <c r="H1388" s="114" t="b">
        <v>0</v>
      </c>
      <c r="I1388" s="114" t="b">
        <v>0</v>
      </c>
      <c r="J1388" s="114" t="b">
        <v>0</v>
      </c>
      <c r="K1388" s="114" t="b">
        <v>0</v>
      </c>
      <c r="L1388" s="114" t="b">
        <v>0</v>
      </c>
    </row>
    <row r="1389" spans="1:12" ht="15">
      <c r="A1389" s="114" t="s">
        <v>2058</v>
      </c>
      <c r="B1389" s="114" t="s">
        <v>2059</v>
      </c>
      <c r="C1389" s="114">
        <v>2</v>
      </c>
      <c r="D1389" s="116">
        <v>0.0021905693187887717</v>
      </c>
      <c r="E1389" s="116">
        <v>2.7011360660925265</v>
      </c>
      <c r="F1389" s="114" t="s">
        <v>1710</v>
      </c>
      <c r="G1389" s="114" t="b">
        <v>0</v>
      </c>
      <c r="H1389" s="114" t="b">
        <v>0</v>
      </c>
      <c r="I1389" s="114" t="b">
        <v>0</v>
      </c>
      <c r="J1389" s="114" t="b">
        <v>0</v>
      </c>
      <c r="K1389" s="114" t="b">
        <v>0</v>
      </c>
      <c r="L1389" s="114" t="b">
        <v>0</v>
      </c>
    </row>
    <row r="1390" spans="1:12" ht="15">
      <c r="A1390" s="114" t="s">
        <v>2059</v>
      </c>
      <c r="B1390" s="114" t="s">
        <v>2060</v>
      </c>
      <c r="C1390" s="114">
        <v>2</v>
      </c>
      <c r="D1390" s="116">
        <v>0.0021905693187887717</v>
      </c>
      <c r="E1390" s="116">
        <v>2.7011360660925265</v>
      </c>
      <c r="F1390" s="114" t="s">
        <v>1710</v>
      </c>
      <c r="G1390" s="114" t="b">
        <v>0</v>
      </c>
      <c r="H1390" s="114" t="b">
        <v>0</v>
      </c>
      <c r="I1390" s="114" t="b">
        <v>0</v>
      </c>
      <c r="J1390" s="114" t="b">
        <v>0</v>
      </c>
      <c r="K1390" s="114" t="b">
        <v>0</v>
      </c>
      <c r="L1390" s="114" t="b">
        <v>0</v>
      </c>
    </row>
    <row r="1391" spans="1:12" ht="15">
      <c r="A1391" s="114" t="s">
        <v>2060</v>
      </c>
      <c r="B1391" s="114" t="s">
        <v>2061</v>
      </c>
      <c r="C1391" s="114">
        <v>2</v>
      </c>
      <c r="D1391" s="116">
        <v>0.0021905693187887717</v>
      </c>
      <c r="E1391" s="116">
        <v>2.7011360660925265</v>
      </c>
      <c r="F1391" s="114" t="s">
        <v>1710</v>
      </c>
      <c r="G1391" s="114" t="b">
        <v>0</v>
      </c>
      <c r="H1391" s="114" t="b">
        <v>0</v>
      </c>
      <c r="I1391" s="114" t="b">
        <v>0</v>
      </c>
      <c r="J1391" s="114" t="b">
        <v>0</v>
      </c>
      <c r="K1391" s="114" t="b">
        <v>0</v>
      </c>
      <c r="L1391" s="114" t="b">
        <v>0</v>
      </c>
    </row>
    <row r="1392" spans="1:12" ht="15">
      <c r="A1392" s="114" t="s">
        <v>2061</v>
      </c>
      <c r="B1392" s="114" t="s">
        <v>2163</v>
      </c>
      <c r="C1392" s="114">
        <v>2</v>
      </c>
      <c r="D1392" s="116">
        <v>0.0021905693187887717</v>
      </c>
      <c r="E1392" s="116">
        <v>2.7011360660925265</v>
      </c>
      <c r="F1392" s="114" t="s">
        <v>1710</v>
      </c>
      <c r="G1392" s="114" t="b">
        <v>0</v>
      </c>
      <c r="H1392" s="114" t="b">
        <v>0</v>
      </c>
      <c r="I1392" s="114" t="b">
        <v>0</v>
      </c>
      <c r="J1392" s="114" t="b">
        <v>0</v>
      </c>
      <c r="K1392" s="114" t="b">
        <v>0</v>
      </c>
      <c r="L1392" s="114" t="b">
        <v>0</v>
      </c>
    </row>
    <row r="1393" spans="1:12" ht="15">
      <c r="A1393" s="114" t="s">
        <v>2163</v>
      </c>
      <c r="B1393" s="114" t="s">
        <v>2164</v>
      </c>
      <c r="C1393" s="114">
        <v>2</v>
      </c>
      <c r="D1393" s="116">
        <v>0.0021905693187887717</v>
      </c>
      <c r="E1393" s="116">
        <v>2.7011360660925265</v>
      </c>
      <c r="F1393" s="114" t="s">
        <v>1710</v>
      </c>
      <c r="G1393" s="114" t="b">
        <v>0</v>
      </c>
      <c r="H1393" s="114" t="b">
        <v>0</v>
      </c>
      <c r="I1393" s="114" t="b">
        <v>0</v>
      </c>
      <c r="J1393" s="114" t="b">
        <v>0</v>
      </c>
      <c r="K1393" s="114" t="b">
        <v>0</v>
      </c>
      <c r="L1393" s="114" t="b">
        <v>0</v>
      </c>
    </row>
    <row r="1394" spans="1:12" ht="15">
      <c r="A1394" s="114" t="s">
        <v>2164</v>
      </c>
      <c r="B1394" s="114" t="s">
        <v>1966</v>
      </c>
      <c r="C1394" s="114">
        <v>2</v>
      </c>
      <c r="D1394" s="116">
        <v>0.0021905693187887717</v>
      </c>
      <c r="E1394" s="116">
        <v>2.303196057420489</v>
      </c>
      <c r="F1394" s="114" t="s">
        <v>1710</v>
      </c>
      <c r="G1394" s="114" t="b">
        <v>0</v>
      </c>
      <c r="H1394" s="114" t="b">
        <v>0</v>
      </c>
      <c r="I1394" s="114" t="b">
        <v>0</v>
      </c>
      <c r="J1394" s="114" t="b">
        <v>0</v>
      </c>
      <c r="K1394" s="114" t="b">
        <v>0</v>
      </c>
      <c r="L1394" s="114" t="b">
        <v>0</v>
      </c>
    </row>
    <row r="1395" spans="1:12" ht="15">
      <c r="A1395" s="114" t="s">
        <v>1966</v>
      </c>
      <c r="B1395" s="114" t="s">
        <v>2165</v>
      </c>
      <c r="C1395" s="114">
        <v>2</v>
      </c>
      <c r="D1395" s="116">
        <v>0.0021905693187887717</v>
      </c>
      <c r="E1395" s="116">
        <v>2.303196057420489</v>
      </c>
      <c r="F1395" s="114" t="s">
        <v>1710</v>
      </c>
      <c r="G1395" s="114" t="b">
        <v>0</v>
      </c>
      <c r="H1395" s="114" t="b">
        <v>0</v>
      </c>
      <c r="I1395" s="114" t="b">
        <v>0</v>
      </c>
      <c r="J1395" s="114" t="b">
        <v>0</v>
      </c>
      <c r="K1395" s="114" t="b">
        <v>0</v>
      </c>
      <c r="L1395" s="114" t="b">
        <v>0</v>
      </c>
    </row>
    <row r="1396" spans="1:12" ht="15">
      <c r="A1396" s="114" t="s">
        <v>2165</v>
      </c>
      <c r="B1396" s="114" t="s">
        <v>2166</v>
      </c>
      <c r="C1396" s="114">
        <v>2</v>
      </c>
      <c r="D1396" s="116">
        <v>0.0021905693187887717</v>
      </c>
      <c r="E1396" s="116">
        <v>2.7011360660925265</v>
      </c>
      <c r="F1396" s="114" t="s">
        <v>1710</v>
      </c>
      <c r="G1396" s="114" t="b">
        <v>0</v>
      </c>
      <c r="H1396" s="114" t="b">
        <v>0</v>
      </c>
      <c r="I1396" s="114" t="b">
        <v>0</v>
      </c>
      <c r="J1396" s="114" t="b">
        <v>0</v>
      </c>
      <c r="K1396" s="114" t="b">
        <v>0</v>
      </c>
      <c r="L1396" s="114" t="b">
        <v>0</v>
      </c>
    </row>
    <row r="1397" spans="1:12" ht="15">
      <c r="A1397" s="114" t="s">
        <v>2166</v>
      </c>
      <c r="B1397" s="114" t="s">
        <v>1999</v>
      </c>
      <c r="C1397" s="114">
        <v>2</v>
      </c>
      <c r="D1397" s="116">
        <v>0.0021905693187887717</v>
      </c>
      <c r="E1397" s="116">
        <v>2.4001060704285453</v>
      </c>
      <c r="F1397" s="114" t="s">
        <v>1710</v>
      </c>
      <c r="G1397" s="114" t="b">
        <v>0</v>
      </c>
      <c r="H1397" s="114" t="b">
        <v>0</v>
      </c>
      <c r="I1397" s="114" t="b">
        <v>0</v>
      </c>
      <c r="J1397" s="114" t="b">
        <v>0</v>
      </c>
      <c r="K1397" s="114" t="b">
        <v>0</v>
      </c>
      <c r="L1397" s="114" t="b">
        <v>0</v>
      </c>
    </row>
    <row r="1398" spans="1:12" ht="15">
      <c r="A1398" s="114" t="s">
        <v>1999</v>
      </c>
      <c r="B1398" s="114" t="s">
        <v>2323</v>
      </c>
      <c r="C1398" s="114">
        <v>2</v>
      </c>
      <c r="D1398" s="116">
        <v>0.0021905693187887717</v>
      </c>
      <c r="E1398" s="116">
        <v>2.4001060704285453</v>
      </c>
      <c r="F1398" s="114" t="s">
        <v>1710</v>
      </c>
      <c r="G1398" s="114" t="b">
        <v>0</v>
      </c>
      <c r="H1398" s="114" t="b">
        <v>0</v>
      </c>
      <c r="I1398" s="114" t="b">
        <v>0</v>
      </c>
      <c r="J1398" s="114" t="b">
        <v>0</v>
      </c>
      <c r="K1398" s="114" t="b">
        <v>0</v>
      </c>
      <c r="L1398" s="114" t="b">
        <v>0</v>
      </c>
    </row>
    <row r="1399" spans="1:12" ht="15">
      <c r="A1399" s="114" t="s">
        <v>2323</v>
      </c>
      <c r="B1399" s="114" t="s">
        <v>1982</v>
      </c>
      <c r="C1399" s="114">
        <v>2</v>
      </c>
      <c r="D1399" s="116">
        <v>0.0021905693187887717</v>
      </c>
      <c r="E1399" s="116">
        <v>2.7011360660925265</v>
      </c>
      <c r="F1399" s="114" t="s">
        <v>1710</v>
      </c>
      <c r="G1399" s="114" t="b">
        <v>0</v>
      </c>
      <c r="H1399" s="114" t="b">
        <v>0</v>
      </c>
      <c r="I1399" s="114" t="b">
        <v>0</v>
      </c>
      <c r="J1399" s="114" t="b">
        <v>0</v>
      </c>
      <c r="K1399" s="114" t="b">
        <v>0</v>
      </c>
      <c r="L1399" s="114" t="b">
        <v>0</v>
      </c>
    </row>
    <row r="1400" spans="1:12" ht="15">
      <c r="A1400" s="114" t="s">
        <v>1982</v>
      </c>
      <c r="B1400" s="114" t="s">
        <v>1966</v>
      </c>
      <c r="C1400" s="114">
        <v>2</v>
      </c>
      <c r="D1400" s="116">
        <v>0.0021905693187887717</v>
      </c>
      <c r="E1400" s="116">
        <v>2.303196057420489</v>
      </c>
      <c r="F1400" s="114" t="s">
        <v>1710</v>
      </c>
      <c r="G1400" s="114" t="b">
        <v>0</v>
      </c>
      <c r="H1400" s="114" t="b">
        <v>0</v>
      </c>
      <c r="I1400" s="114" t="b">
        <v>0</v>
      </c>
      <c r="J1400" s="114" t="b">
        <v>0</v>
      </c>
      <c r="K1400" s="114" t="b">
        <v>0</v>
      </c>
      <c r="L1400" s="114" t="b">
        <v>0</v>
      </c>
    </row>
    <row r="1401" spans="1:12" ht="15">
      <c r="A1401" s="114" t="s">
        <v>1966</v>
      </c>
      <c r="B1401" s="114" t="s">
        <v>1999</v>
      </c>
      <c r="C1401" s="114">
        <v>2</v>
      </c>
      <c r="D1401" s="116">
        <v>0.0021905693187887717</v>
      </c>
      <c r="E1401" s="116">
        <v>2.002166061756508</v>
      </c>
      <c r="F1401" s="114" t="s">
        <v>1710</v>
      </c>
      <c r="G1401" s="114" t="b">
        <v>0</v>
      </c>
      <c r="H1401" s="114" t="b">
        <v>0</v>
      </c>
      <c r="I1401" s="114" t="b">
        <v>0</v>
      </c>
      <c r="J1401" s="114" t="b">
        <v>0</v>
      </c>
      <c r="K1401" s="114" t="b">
        <v>0</v>
      </c>
      <c r="L1401" s="114" t="b">
        <v>0</v>
      </c>
    </row>
    <row r="1402" spans="1:12" ht="15">
      <c r="A1402" s="114" t="s">
        <v>1999</v>
      </c>
      <c r="B1402" s="114" t="s">
        <v>1912</v>
      </c>
      <c r="C1402" s="114">
        <v>2</v>
      </c>
      <c r="D1402" s="116">
        <v>0.0021905693187887717</v>
      </c>
      <c r="E1402" s="116">
        <v>2.224014811372864</v>
      </c>
      <c r="F1402" s="114" t="s">
        <v>1710</v>
      </c>
      <c r="G1402" s="114" t="b">
        <v>0</v>
      </c>
      <c r="H1402" s="114" t="b">
        <v>0</v>
      </c>
      <c r="I1402" s="114" t="b">
        <v>0</v>
      </c>
      <c r="J1402" s="114" t="b">
        <v>0</v>
      </c>
      <c r="K1402" s="114" t="b">
        <v>0</v>
      </c>
      <c r="L1402" s="114" t="b">
        <v>0</v>
      </c>
    </row>
    <row r="1403" spans="1:12" ht="15">
      <c r="A1403" s="114" t="s">
        <v>1912</v>
      </c>
      <c r="B1403" s="114" t="s">
        <v>2324</v>
      </c>
      <c r="C1403" s="114">
        <v>2</v>
      </c>
      <c r="D1403" s="116">
        <v>0.0021905693187887717</v>
      </c>
      <c r="E1403" s="116">
        <v>2.525044807036845</v>
      </c>
      <c r="F1403" s="114" t="s">
        <v>1710</v>
      </c>
      <c r="G1403" s="114" t="b">
        <v>0</v>
      </c>
      <c r="H1403" s="114" t="b">
        <v>0</v>
      </c>
      <c r="I1403" s="114" t="b">
        <v>0</v>
      </c>
      <c r="J1403" s="114" t="b">
        <v>0</v>
      </c>
      <c r="K1403" s="114" t="b">
        <v>0</v>
      </c>
      <c r="L1403" s="114" t="b">
        <v>0</v>
      </c>
    </row>
    <row r="1404" spans="1:12" ht="15">
      <c r="A1404" s="114" t="s">
        <v>2324</v>
      </c>
      <c r="B1404" s="114" t="s">
        <v>2000</v>
      </c>
      <c r="C1404" s="114">
        <v>2</v>
      </c>
      <c r="D1404" s="116">
        <v>0.0021905693187887717</v>
      </c>
      <c r="E1404" s="116">
        <v>2.7011360660925265</v>
      </c>
      <c r="F1404" s="114" t="s">
        <v>1710</v>
      </c>
      <c r="G1404" s="114" t="b">
        <v>0</v>
      </c>
      <c r="H1404" s="114" t="b">
        <v>0</v>
      </c>
      <c r="I1404" s="114" t="b">
        <v>0</v>
      </c>
      <c r="J1404" s="114" t="b">
        <v>0</v>
      </c>
      <c r="K1404" s="114" t="b">
        <v>0</v>
      </c>
      <c r="L1404" s="114" t="b">
        <v>0</v>
      </c>
    </row>
    <row r="1405" spans="1:12" ht="15">
      <c r="A1405" s="114" t="s">
        <v>2000</v>
      </c>
      <c r="B1405" s="114" t="s">
        <v>2062</v>
      </c>
      <c r="C1405" s="114">
        <v>2</v>
      </c>
      <c r="D1405" s="116">
        <v>0.0021905693187887717</v>
      </c>
      <c r="E1405" s="116">
        <v>2.7011360660925265</v>
      </c>
      <c r="F1405" s="114" t="s">
        <v>1710</v>
      </c>
      <c r="G1405" s="114" t="b">
        <v>0</v>
      </c>
      <c r="H1405" s="114" t="b">
        <v>0</v>
      </c>
      <c r="I1405" s="114" t="b">
        <v>0</v>
      </c>
      <c r="J1405" s="114" t="b">
        <v>0</v>
      </c>
      <c r="K1405" s="114" t="b">
        <v>0</v>
      </c>
      <c r="L1405" s="114" t="b">
        <v>0</v>
      </c>
    </row>
    <row r="1406" spans="1:12" ht="15">
      <c r="A1406" s="114" t="s">
        <v>2144</v>
      </c>
      <c r="B1406" s="114" t="s">
        <v>1894</v>
      </c>
      <c r="C1406" s="114">
        <v>2</v>
      </c>
      <c r="D1406" s="116">
        <v>0.0021905693187887717</v>
      </c>
      <c r="E1406" s="116">
        <v>2.1271047983648077</v>
      </c>
      <c r="F1406" s="114" t="s">
        <v>1710</v>
      </c>
      <c r="G1406" s="114" t="b">
        <v>0</v>
      </c>
      <c r="H1406" s="114" t="b">
        <v>0</v>
      </c>
      <c r="I1406" s="114" t="b">
        <v>0</v>
      </c>
      <c r="J1406" s="114" t="b">
        <v>0</v>
      </c>
      <c r="K1406" s="114" t="b">
        <v>0</v>
      </c>
      <c r="L1406" s="114" t="b">
        <v>0</v>
      </c>
    </row>
    <row r="1407" spans="1:12" ht="15">
      <c r="A1407" s="114" t="s">
        <v>2065</v>
      </c>
      <c r="B1407" s="114" t="s">
        <v>1739</v>
      </c>
      <c r="C1407" s="114">
        <v>2</v>
      </c>
      <c r="D1407" s="116">
        <v>0.0027739607832538513</v>
      </c>
      <c r="E1407" s="116">
        <v>0.7373482387469712</v>
      </c>
      <c r="F1407" s="114" t="s">
        <v>1710</v>
      </c>
      <c r="G1407" s="114" t="b">
        <v>0</v>
      </c>
      <c r="H1407" s="114" t="b">
        <v>0</v>
      </c>
      <c r="I1407" s="114" t="b">
        <v>0</v>
      </c>
      <c r="J1407" s="114" t="b">
        <v>0</v>
      </c>
      <c r="K1407" s="114" t="b">
        <v>0</v>
      </c>
      <c r="L1407" s="114" t="b">
        <v>0</v>
      </c>
    </row>
    <row r="1408" spans="1:12" ht="15">
      <c r="A1408" s="114" t="s">
        <v>1739</v>
      </c>
      <c r="B1408" s="114" t="s">
        <v>2065</v>
      </c>
      <c r="C1408" s="114">
        <v>2</v>
      </c>
      <c r="D1408" s="116">
        <v>0.0027739607832538513</v>
      </c>
      <c r="E1408" s="116">
        <v>0.7280082124928278</v>
      </c>
      <c r="F1408" s="114" t="s">
        <v>1710</v>
      </c>
      <c r="G1408" s="114" t="b">
        <v>0</v>
      </c>
      <c r="H1408" s="114" t="b">
        <v>0</v>
      </c>
      <c r="I1408" s="114" t="b">
        <v>0</v>
      </c>
      <c r="J1408" s="114" t="b">
        <v>0</v>
      </c>
      <c r="K1408" s="114" t="b">
        <v>0</v>
      </c>
      <c r="L1408" s="114" t="b">
        <v>0</v>
      </c>
    </row>
    <row r="1409" spans="1:12" ht="15">
      <c r="A1409" s="114" t="s">
        <v>1739</v>
      </c>
      <c r="B1409" s="114" t="s">
        <v>1804</v>
      </c>
      <c r="C1409" s="114">
        <v>2</v>
      </c>
      <c r="D1409" s="116">
        <v>0.0021905693187887717</v>
      </c>
      <c r="E1409" s="116">
        <v>0.8529469491011277</v>
      </c>
      <c r="F1409" s="114" t="s">
        <v>1710</v>
      </c>
      <c r="G1409" s="114" t="b">
        <v>0</v>
      </c>
      <c r="H1409" s="114" t="b">
        <v>0</v>
      </c>
      <c r="I1409" s="114" t="b">
        <v>0</v>
      </c>
      <c r="J1409" s="114" t="b">
        <v>0</v>
      </c>
      <c r="K1409" s="114" t="b">
        <v>0</v>
      </c>
      <c r="L1409" s="114" t="b">
        <v>0</v>
      </c>
    </row>
    <row r="1410" spans="1:12" ht="15">
      <c r="A1410" s="114" t="s">
        <v>1915</v>
      </c>
      <c r="B1410" s="114" t="s">
        <v>1915</v>
      </c>
      <c r="C1410" s="114">
        <v>2</v>
      </c>
      <c r="D1410" s="116">
        <v>0.0027739607832538513</v>
      </c>
      <c r="E1410" s="116">
        <v>2.348953547981164</v>
      </c>
      <c r="F1410" s="114" t="s">
        <v>1710</v>
      </c>
      <c r="G1410" s="114" t="b">
        <v>0</v>
      </c>
      <c r="H1410" s="114" t="b">
        <v>0</v>
      </c>
      <c r="I1410" s="114" t="b">
        <v>0</v>
      </c>
      <c r="J1410" s="114" t="b">
        <v>0</v>
      </c>
      <c r="K1410" s="114" t="b">
        <v>0</v>
      </c>
      <c r="L1410" s="114" t="b">
        <v>0</v>
      </c>
    </row>
    <row r="1411" spans="1:12" ht="15">
      <c r="A1411" s="114" t="s">
        <v>1756</v>
      </c>
      <c r="B1411" s="114" t="s">
        <v>1877</v>
      </c>
      <c r="C1411" s="114">
        <v>2</v>
      </c>
      <c r="D1411" s="116">
        <v>0.0021905693187887717</v>
      </c>
      <c r="E1411" s="116">
        <v>1.1100714590660272</v>
      </c>
      <c r="F1411" s="114" t="s">
        <v>1710</v>
      </c>
      <c r="G1411" s="114" t="b">
        <v>0</v>
      </c>
      <c r="H1411" s="114" t="b">
        <v>0</v>
      </c>
      <c r="I1411" s="114" t="b">
        <v>0</v>
      </c>
      <c r="J1411" s="114" t="b">
        <v>0</v>
      </c>
      <c r="K1411" s="114" t="b">
        <v>0</v>
      </c>
      <c r="L1411" s="114" t="b">
        <v>0</v>
      </c>
    </row>
    <row r="1412" spans="1:12" ht="15">
      <c r="A1412" s="114" t="s">
        <v>1877</v>
      </c>
      <c r="B1412" s="114" t="s">
        <v>1877</v>
      </c>
      <c r="C1412" s="114">
        <v>2</v>
      </c>
      <c r="D1412" s="116">
        <v>0.0021905693187887717</v>
      </c>
      <c r="E1412" s="116">
        <v>1.7468935566532016</v>
      </c>
      <c r="F1412" s="114" t="s">
        <v>1710</v>
      </c>
      <c r="G1412" s="114" t="b">
        <v>0</v>
      </c>
      <c r="H1412" s="114" t="b">
        <v>0</v>
      </c>
      <c r="I1412" s="114" t="b">
        <v>0</v>
      </c>
      <c r="J1412" s="114" t="b">
        <v>0</v>
      </c>
      <c r="K1412" s="114" t="b">
        <v>0</v>
      </c>
      <c r="L1412" s="114" t="b">
        <v>0</v>
      </c>
    </row>
    <row r="1413" spans="1:12" ht="15">
      <c r="A1413" s="114" t="s">
        <v>1877</v>
      </c>
      <c r="B1413" s="114" t="s">
        <v>1896</v>
      </c>
      <c r="C1413" s="114">
        <v>2</v>
      </c>
      <c r="D1413" s="116">
        <v>0.0021905693187887717</v>
      </c>
      <c r="E1413" s="116">
        <v>1.7468935566532016</v>
      </c>
      <c r="F1413" s="114" t="s">
        <v>1710</v>
      </c>
      <c r="G1413" s="114" t="b">
        <v>0</v>
      </c>
      <c r="H1413" s="114" t="b">
        <v>0</v>
      </c>
      <c r="I1413" s="114" t="b">
        <v>0</v>
      </c>
      <c r="J1413" s="114" t="b">
        <v>0</v>
      </c>
      <c r="K1413" s="114" t="b">
        <v>0</v>
      </c>
      <c r="L1413" s="114" t="b">
        <v>0</v>
      </c>
    </row>
    <row r="1414" spans="1:12" ht="15">
      <c r="A1414" s="114" t="s">
        <v>1756</v>
      </c>
      <c r="B1414" s="114" t="s">
        <v>1756</v>
      </c>
      <c r="C1414" s="114">
        <v>2</v>
      </c>
      <c r="D1414" s="116">
        <v>0.0021905693187887717</v>
      </c>
      <c r="E1414" s="116">
        <v>0.5080114677380649</v>
      </c>
      <c r="F1414" s="114" t="s">
        <v>1710</v>
      </c>
      <c r="G1414" s="114" t="b">
        <v>0</v>
      </c>
      <c r="H1414" s="114" t="b">
        <v>0</v>
      </c>
      <c r="I1414" s="114" t="b">
        <v>0</v>
      </c>
      <c r="J1414" s="114" t="b">
        <v>0</v>
      </c>
      <c r="K1414" s="114" t="b">
        <v>0</v>
      </c>
      <c r="L1414" s="114" t="b">
        <v>0</v>
      </c>
    </row>
    <row r="1415" spans="1:12" ht="15">
      <c r="A1415" s="114" t="s">
        <v>1756</v>
      </c>
      <c r="B1415" s="114" t="s">
        <v>1896</v>
      </c>
      <c r="C1415" s="114">
        <v>2</v>
      </c>
      <c r="D1415" s="116">
        <v>0.0021905693187887717</v>
      </c>
      <c r="E1415" s="116">
        <v>1.1100714590660272</v>
      </c>
      <c r="F1415" s="114" t="s">
        <v>1710</v>
      </c>
      <c r="G1415" s="114" t="b">
        <v>0</v>
      </c>
      <c r="H1415" s="114" t="b">
        <v>0</v>
      </c>
      <c r="I1415" s="114" t="b">
        <v>0</v>
      </c>
      <c r="J1415" s="114" t="b">
        <v>0</v>
      </c>
      <c r="K1415" s="114" t="b">
        <v>0</v>
      </c>
      <c r="L1415" s="114" t="b">
        <v>0</v>
      </c>
    </row>
    <row r="1416" spans="1:12" ht="15">
      <c r="A1416" s="114" t="s">
        <v>1756</v>
      </c>
      <c r="B1416" s="114" t="s">
        <v>1765</v>
      </c>
      <c r="C1416" s="114">
        <v>2</v>
      </c>
      <c r="D1416" s="116">
        <v>0.0021905693187887717</v>
      </c>
      <c r="E1416" s="116">
        <v>1.1100714590660272</v>
      </c>
      <c r="F1416" s="114" t="s">
        <v>1710</v>
      </c>
      <c r="G1416" s="114" t="b">
        <v>0</v>
      </c>
      <c r="H1416" s="114" t="b">
        <v>0</v>
      </c>
      <c r="I1416" s="114" t="b">
        <v>0</v>
      </c>
      <c r="J1416" s="114" t="b">
        <v>0</v>
      </c>
      <c r="K1416" s="114" t="b">
        <v>0</v>
      </c>
      <c r="L1416" s="114" t="b">
        <v>0</v>
      </c>
    </row>
    <row r="1417" spans="1:12" ht="15">
      <c r="A1417" s="114" t="s">
        <v>1765</v>
      </c>
      <c r="B1417" s="114" t="s">
        <v>1756</v>
      </c>
      <c r="C1417" s="114">
        <v>2</v>
      </c>
      <c r="D1417" s="116">
        <v>0.0021905693187887717</v>
      </c>
      <c r="E1417" s="116">
        <v>1.224014811372864</v>
      </c>
      <c r="F1417" s="114" t="s">
        <v>1710</v>
      </c>
      <c r="G1417" s="114" t="b">
        <v>0</v>
      </c>
      <c r="H1417" s="114" t="b">
        <v>0</v>
      </c>
      <c r="I1417" s="114" t="b">
        <v>0</v>
      </c>
      <c r="J1417" s="114" t="b">
        <v>0</v>
      </c>
      <c r="K1417" s="114" t="b">
        <v>0</v>
      </c>
      <c r="L1417" s="114" t="b">
        <v>0</v>
      </c>
    </row>
    <row r="1418" spans="1:12" ht="15">
      <c r="A1418" s="114" t="s">
        <v>1805</v>
      </c>
      <c r="B1418" s="114" t="s">
        <v>2158</v>
      </c>
      <c r="C1418" s="114">
        <v>2</v>
      </c>
      <c r="D1418" s="116">
        <v>0.0021905693187887717</v>
      </c>
      <c r="E1418" s="116">
        <v>1.7468935566532016</v>
      </c>
      <c r="F1418" s="114" t="s">
        <v>1710</v>
      </c>
      <c r="G1418" s="114" t="b">
        <v>0</v>
      </c>
      <c r="H1418" s="114" t="b">
        <v>0</v>
      </c>
      <c r="I1418" s="114" t="b">
        <v>0</v>
      </c>
      <c r="J1418" s="114" t="b">
        <v>0</v>
      </c>
      <c r="K1418" s="114" t="b">
        <v>0</v>
      </c>
      <c r="L1418" s="114" t="b">
        <v>0</v>
      </c>
    </row>
    <row r="1419" spans="1:12" ht="15">
      <c r="A1419" s="114" t="s">
        <v>2319</v>
      </c>
      <c r="B1419" s="114" t="s">
        <v>1940</v>
      </c>
      <c r="C1419" s="114">
        <v>2</v>
      </c>
      <c r="D1419" s="116">
        <v>0.0027739607832538513</v>
      </c>
      <c r="E1419" s="116">
        <v>2.224014811372864</v>
      </c>
      <c r="F1419" s="114" t="s">
        <v>1710</v>
      </c>
      <c r="G1419" s="114" t="b">
        <v>0</v>
      </c>
      <c r="H1419" s="114" t="b">
        <v>0</v>
      </c>
      <c r="I1419" s="114" t="b">
        <v>0</v>
      </c>
      <c r="J1419" s="114" t="b">
        <v>0</v>
      </c>
      <c r="K1419" s="114" t="b">
        <v>0</v>
      </c>
      <c r="L1419" s="114" t="b">
        <v>0</v>
      </c>
    </row>
    <row r="1420" spans="1:12" ht="15">
      <c r="A1420" s="114" t="s">
        <v>2310</v>
      </c>
      <c r="B1420" s="114" t="s">
        <v>2311</v>
      </c>
      <c r="C1420" s="114">
        <v>2</v>
      </c>
      <c r="D1420" s="116">
        <v>0.0027739607832538513</v>
      </c>
      <c r="E1420" s="116">
        <v>2.7011360660925265</v>
      </c>
      <c r="F1420" s="114" t="s">
        <v>1710</v>
      </c>
      <c r="G1420" s="114" t="b">
        <v>0</v>
      </c>
      <c r="H1420" s="114" t="b">
        <v>0</v>
      </c>
      <c r="I1420" s="114" t="b">
        <v>0</v>
      </c>
      <c r="J1420" s="114" t="b">
        <v>0</v>
      </c>
      <c r="K1420" s="114" t="b">
        <v>0</v>
      </c>
      <c r="L1420" s="114" t="b">
        <v>0</v>
      </c>
    </row>
    <row r="1421" spans="1:12" ht="15">
      <c r="A1421" s="114" t="s">
        <v>1743</v>
      </c>
      <c r="B1421" s="114" t="s">
        <v>1740</v>
      </c>
      <c r="C1421" s="114">
        <v>2</v>
      </c>
      <c r="D1421" s="116">
        <v>0.0021905693187887717</v>
      </c>
      <c r="E1421" s="116">
        <v>0.26656716205832776</v>
      </c>
      <c r="F1421" s="114" t="s">
        <v>1710</v>
      </c>
      <c r="G1421" s="114" t="b">
        <v>0</v>
      </c>
      <c r="H1421" s="114" t="b">
        <v>0</v>
      </c>
      <c r="I1421" s="114" t="b">
        <v>0</v>
      </c>
      <c r="J1421" s="114" t="b">
        <v>0</v>
      </c>
      <c r="K1421" s="114" t="b">
        <v>0</v>
      </c>
      <c r="L1421" s="114" t="b">
        <v>0</v>
      </c>
    </row>
    <row r="1422" spans="1:12" ht="15">
      <c r="A1422" s="114" t="s">
        <v>2049</v>
      </c>
      <c r="B1422" s="114" t="s">
        <v>1995</v>
      </c>
      <c r="C1422" s="114">
        <v>2</v>
      </c>
      <c r="D1422" s="116">
        <v>0.0027739607832538513</v>
      </c>
      <c r="E1422" s="116">
        <v>2.002166061756508</v>
      </c>
      <c r="F1422" s="114" t="s">
        <v>1710</v>
      </c>
      <c r="G1422" s="114" t="b">
        <v>0</v>
      </c>
      <c r="H1422" s="114" t="b">
        <v>0</v>
      </c>
      <c r="I1422" s="114" t="b">
        <v>0</v>
      </c>
      <c r="J1422" s="114" t="b">
        <v>0</v>
      </c>
      <c r="K1422" s="114" t="b">
        <v>0</v>
      </c>
      <c r="L1422" s="114" t="b">
        <v>0</v>
      </c>
    </row>
    <row r="1423" spans="1:12" ht="15">
      <c r="A1423" s="114" t="s">
        <v>1995</v>
      </c>
      <c r="B1423" s="114" t="s">
        <v>1739</v>
      </c>
      <c r="C1423" s="114">
        <v>2</v>
      </c>
      <c r="D1423" s="116">
        <v>0.0027739607832538513</v>
      </c>
      <c r="E1423" s="116">
        <v>0.6404382257389147</v>
      </c>
      <c r="F1423" s="114" t="s">
        <v>1710</v>
      </c>
      <c r="G1423" s="114" t="b">
        <v>0</v>
      </c>
      <c r="H1423" s="114" t="b">
        <v>0</v>
      </c>
      <c r="I1423" s="114" t="b">
        <v>0</v>
      </c>
      <c r="J1423" s="114" t="b">
        <v>0</v>
      </c>
      <c r="K1423" s="114" t="b">
        <v>0</v>
      </c>
      <c r="L1423" s="114" t="b">
        <v>0</v>
      </c>
    </row>
    <row r="1424" spans="1:12" ht="15">
      <c r="A1424" s="114" t="s">
        <v>1995</v>
      </c>
      <c r="B1424" s="114" t="s">
        <v>2049</v>
      </c>
      <c r="C1424" s="114">
        <v>2</v>
      </c>
      <c r="D1424" s="116">
        <v>0.0027739607832538513</v>
      </c>
      <c r="E1424" s="116">
        <v>2.1271047983648077</v>
      </c>
      <c r="F1424" s="114" t="s">
        <v>1710</v>
      </c>
      <c r="G1424" s="114" t="b">
        <v>0</v>
      </c>
      <c r="H1424" s="114" t="b">
        <v>0</v>
      </c>
      <c r="I1424" s="114" t="b">
        <v>0</v>
      </c>
      <c r="J1424" s="114" t="b">
        <v>0</v>
      </c>
      <c r="K1424" s="114" t="b">
        <v>0</v>
      </c>
      <c r="L1424" s="114" t="b">
        <v>0</v>
      </c>
    </row>
    <row r="1425" spans="1:12" ht="15">
      <c r="A1425" s="114" t="s">
        <v>1746</v>
      </c>
      <c r="B1425" s="114" t="s">
        <v>1744</v>
      </c>
      <c r="C1425" s="114">
        <v>2</v>
      </c>
      <c r="D1425" s="116">
        <v>0.0021905693187887717</v>
      </c>
      <c r="E1425" s="116">
        <v>0.6677123106055768</v>
      </c>
      <c r="F1425" s="114" t="s">
        <v>1710</v>
      </c>
      <c r="G1425" s="114" t="b">
        <v>0</v>
      </c>
      <c r="H1425" s="114" t="b">
        <v>1</v>
      </c>
      <c r="I1425" s="114" t="b">
        <v>0</v>
      </c>
      <c r="J1425" s="114" t="b">
        <v>0</v>
      </c>
      <c r="K1425" s="114" t="b">
        <v>0</v>
      </c>
      <c r="L1425" s="114" t="b">
        <v>0</v>
      </c>
    </row>
    <row r="1426" spans="1:12" ht="15">
      <c r="A1426" s="114" t="s">
        <v>2153</v>
      </c>
      <c r="B1426" s="114" t="s">
        <v>1739</v>
      </c>
      <c r="C1426" s="114">
        <v>2</v>
      </c>
      <c r="D1426" s="116">
        <v>0.0027739607832538513</v>
      </c>
      <c r="E1426" s="116">
        <v>0.8622869753552712</v>
      </c>
      <c r="F1426" s="114" t="s">
        <v>1710</v>
      </c>
      <c r="G1426" s="114" t="b">
        <v>0</v>
      </c>
      <c r="H1426" s="114" t="b">
        <v>0</v>
      </c>
      <c r="I1426" s="114" t="b">
        <v>0</v>
      </c>
      <c r="J1426" s="114" t="b">
        <v>0</v>
      </c>
      <c r="K1426" s="114" t="b">
        <v>0</v>
      </c>
      <c r="L1426" s="114" t="b">
        <v>0</v>
      </c>
    </row>
    <row r="1427" spans="1:12" ht="15">
      <c r="A1427" s="114" t="s">
        <v>1756</v>
      </c>
      <c r="B1427" s="114" t="s">
        <v>1747</v>
      </c>
      <c r="C1427" s="114">
        <v>2</v>
      </c>
      <c r="D1427" s="116">
        <v>0.0027739607832538513</v>
      </c>
      <c r="E1427" s="116">
        <v>0.7742793571428341</v>
      </c>
      <c r="F1427" s="114" t="s">
        <v>1710</v>
      </c>
      <c r="G1427" s="114" t="b">
        <v>0</v>
      </c>
      <c r="H1427" s="114" t="b">
        <v>0</v>
      </c>
      <c r="I1427" s="114" t="b">
        <v>0</v>
      </c>
      <c r="J1427" s="114" t="b">
        <v>0</v>
      </c>
      <c r="K1427" s="114" t="b">
        <v>0</v>
      </c>
      <c r="L1427" s="114" t="b">
        <v>0</v>
      </c>
    </row>
    <row r="1428" spans="1:12" ht="15">
      <c r="A1428" s="114" t="s">
        <v>1749</v>
      </c>
      <c r="B1428" s="114" t="s">
        <v>1876</v>
      </c>
      <c r="C1428" s="114">
        <v>2</v>
      </c>
      <c r="D1428" s="116">
        <v>0.0027739607832538513</v>
      </c>
      <c r="E1428" s="116">
        <v>1.5473212017479976</v>
      </c>
      <c r="F1428" s="114" t="s">
        <v>1710</v>
      </c>
      <c r="G1428" s="114" t="b">
        <v>0</v>
      </c>
      <c r="H1428" s="114" t="b">
        <v>0</v>
      </c>
      <c r="I1428" s="114" t="b">
        <v>0</v>
      </c>
      <c r="J1428" s="114" t="b">
        <v>0</v>
      </c>
      <c r="K1428" s="114" t="b">
        <v>0</v>
      </c>
      <c r="L1428" s="114" t="b">
        <v>0</v>
      </c>
    </row>
    <row r="1429" spans="1:12" ht="15">
      <c r="A1429" s="114" t="s">
        <v>1876</v>
      </c>
      <c r="B1429" s="114" t="s">
        <v>1749</v>
      </c>
      <c r="C1429" s="114">
        <v>2</v>
      </c>
      <c r="D1429" s="116">
        <v>0.0027739607832538513</v>
      </c>
      <c r="E1429" s="116">
        <v>1.5708022975975204</v>
      </c>
      <c r="F1429" s="114" t="s">
        <v>1710</v>
      </c>
      <c r="G1429" s="114" t="b">
        <v>0</v>
      </c>
      <c r="H1429" s="114" t="b">
        <v>0</v>
      </c>
      <c r="I1429" s="114" t="b">
        <v>0</v>
      </c>
      <c r="J1429" s="114" t="b">
        <v>0</v>
      </c>
      <c r="K1429" s="114" t="b">
        <v>0</v>
      </c>
      <c r="L1429" s="114" t="b">
        <v>0</v>
      </c>
    </row>
    <row r="1430" spans="1:12" ht="15">
      <c r="A1430" s="114" t="s">
        <v>1749</v>
      </c>
      <c r="B1430" s="114" t="s">
        <v>2148</v>
      </c>
      <c r="C1430" s="114">
        <v>2</v>
      </c>
      <c r="D1430" s="116">
        <v>0.0027739607832538513</v>
      </c>
      <c r="E1430" s="116">
        <v>1.7234124608036787</v>
      </c>
      <c r="F1430" s="114" t="s">
        <v>1710</v>
      </c>
      <c r="G1430" s="114" t="b">
        <v>0</v>
      </c>
      <c r="H1430" s="114" t="b">
        <v>0</v>
      </c>
      <c r="I1430" s="114" t="b">
        <v>0</v>
      </c>
      <c r="J1430" s="114" t="b">
        <v>0</v>
      </c>
      <c r="K1430" s="114" t="b">
        <v>0</v>
      </c>
      <c r="L1430" s="114" t="b">
        <v>0</v>
      </c>
    </row>
    <row r="1431" spans="1:12" ht="15">
      <c r="A1431" s="114" t="s">
        <v>1837</v>
      </c>
      <c r="B1431" s="114" t="s">
        <v>1992</v>
      </c>
      <c r="C1431" s="114">
        <v>2</v>
      </c>
      <c r="D1431" s="116">
        <v>0.0027739607832538513</v>
      </c>
      <c r="E1431" s="116">
        <v>1.7011360660925265</v>
      </c>
      <c r="F1431" s="114" t="s">
        <v>1710</v>
      </c>
      <c r="G1431" s="114" t="b">
        <v>0</v>
      </c>
      <c r="H1431" s="114" t="b">
        <v>0</v>
      </c>
      <c r="I1431" s="114" t="b">
        <v>0</v>
      </c>
      <c r="J1431" s="114" t="b">
        <v>0</v>
      </c>
      <c r="K1431" s="114" t="b">
        <v>1</v>
      </c>
      <c r="L1431" s="114" t="b">
        <v>0</v>
      </c>
    </row>
    <row r="1432" spans="1:12" ht="15">
      <c r="A1432" s="114" t="s">
        <v>2303</v>
      </c>
      <c r="B1432" s="114" t="s">
        <v>1749</v>
      </c>
      <c r="C1432" s="114">
        <v>2</v>
      </c>
      <c r="D1432" s="116">
        <v>0.0027739607832538513</v>
      </c>
      <c r="E1432" s="116">
        <v>1.7468935566532016</v>
      </c>
      <c r="F1432" s="114" t="s">
        <v>1710</v>
      </c>
      <c r="G1432" s="114" t="b">
        <v>0</v>
      </c>
      <c r="H1432" s="114" t="b">
        <v>0</v>
      </c>
      <c r="I1432" s="114" t="b">
        <v>0</v>
      </c>
      <c r="J1432" s="114" t="b">
        <v>0</v>
      </c>
      <c r="K1432" s="114" t="b">
        <v>0</v>
      </c>
      <c r="L1432" s="114" t="b">
        <v>0</v>
      </c>
    </row>
    <row r="1433" spans="1:12" ht="15">
      <c r="A1433" s="114" t="s">
        <v>1765</v>
      </c>
      <c r="B1433" s="114" t="s">
        <v>1749</v>
      </c>
      <c r="C1433" s="114">
        <v>2</v>
      </c>
      <c r="D1433" s="116">
        <v>0.0027739607832538513</v>
      </c>
      <c r="E1433" s="116">
        <v>1.348953547981164</v>
      </c>
      <c r="F1433" s="114" t="s">
        <v>1710</v>
      </c>
      <c r="G1433" s="114" t="b">
        <v>0</v>
      </c>
      <c r="H1433" s="114" t="b">
        <v>0</v>
      </c>
      <c r="I1433" s="114" t="b">
        <v>0</v>
      </c>
      <c r="J1433" s="114" t="b">
        <v>0</v>
      </c>
      <c r="K1433" s="114" t="b">
        <v>0</v>
      </c>
      <c r="L1433" s="114" t="b">
        <v>0</v>
      </c>
    </row>
    <row r="1434" spans="1:12" ht="15">
      <c r="A1434" s="114" t="s">
        <v>1749</v>
      </c>
      <c r="B1434" s="114" t="s">
        <v>1765</v>
      </c>
      <c r="C1434" s="114">
        <v>2</v>
      </c>
      <c r="D1434" s="116">
        <v>0.0027739607832538513</v>
      </c>
      <c r="E1434" s="116">
        <v>1.2462912060840163</v>
      </c>
      <c r="F1434" s="114" t="s">
        <v>1710</v>
      </c>
      <c r="G1434" s="114" t="b">
        <v>0</v>
      </c>
      <c r="H1434" s="114" t="b">
        <v>0</v>
      </c>
      <c r="I1434" s="114" t="b">
        <v>0</v>
      </c>
      <c r="J1434" s="114" t="b">
        <v>0</v>
      </c>
      <c r="K1434" s="114" t="b">
        <v>0</v>
      </c>
      <c r="L1434" s="114" t="b">
        <v>0</v>
      </c>
    </row>
    <row r="1435" spans="1:12" ht="15">
      <c r="A1435" s="114" t="s">
        <v>2047</v>
      </c>
      <c r="B1435" s="114" t="s">
        <v>2047</v>
      </c>
      <c r="C1435" s="114">
        <v>2</v>
      </c>
      <c r="D1435" s="116">
        <v>0.0027739607832538513</v>
      </c>
      <c r="E1435" s="116">
        <v>2.224014811372864</v>
      </c>
      <c r="F1435" s="114" t="s">
        <v>1710</v>
      </c>
      <c r="G1435" s="114" t="b">
        <v>0</v>
      </c>
      <c r="H1435" s="114" t="b">
        <v>0</v>
      </c>
      <c r="I1435" s="114" t="b">
        <v>0</v>
      </c>
      <c r="J1435" s="114" t="b">
        <v>0</v>
      </c>
      <c r="K1435" s="114" t="b">
        <v>0</v>
      </c>
      <c r="L1435" s="114" t="b">
        <v>0</v>
      </c>
    </row>
    <row r="1436" spans="1:12" ht="15">
      <c r="A1436" s="114" t="s">
        <v>1743</v>
      </c>
      <c r="B1436" s="114" t="s">
        <v>1836</v>
      </c>
      <c r="C1436" s="114">
        <v>2</v>
      </c>
      <c r="D1436" s="116">
        <v>0.0027739607832538513</v>
      </c>
      <c r="E1436" s="116">
        <v>0.843803569661258</v>
      </c>
      <c r="F1436" s="114" t="s">
        <v>1710</v>
      </c>
      <c r="G1436" s="114" t="b">
        <v>0</v>
      </c>
      <c r="H1436" s="114" t="b">
        <v>0</v>
      </c>
      <c r="I1436" s="114" t="b">
        <v>0</v>
      </c>
      <c r="J1436" s="114" t="b">
        <v>0</v>
      </c>
      <c r="K1436" s="114" t="b">
        <v>0</v>
      </c>
      <c r="L1436" s="114" t="b">
        <v>0</v>
      </c>
    </row>
    <row r="1437" spans="1:12" ht="15">
      <c r="A1437" s="114" t="s">
        <v>1836</v>
      </c>
      <c r="B1437" s="114" t="s">
        <v>1836</v>
      </c>
      <c r="C1437" s="114">
        <v>2</v>
      </c>
      <c r="D1437" s="116">
        <v>0.0027739607832538513</v>
      </c>
      <c r="E1437" s="116">
        <v>1.4458635609892203</v>
      </c>
      <c r="F1437" s="114" t="s">
        <v>1710</v>
      </c>
      <c r="G1437" s="114" t="b">
        <v>0</v>
      </c>
      <c r="H1437" s="114" t="b">
        <v>0</v>
      </c>
      <c r="I1437" s="114" t="b">
        <v>0</v>
      </c>
      <c r="J1437" s="114" t="b">
        <v>0</v>
      </c>
      <c r="K1437" s="114" t="b">
        <v>0</v>
      </c>
      <c r="L1437" s="114" t="b">
        <v>0</v>
      </c>
    </row>
    <row r="1438" spans="1:12" ht="15">
      <c r="A1438" s="114" t="s">
        <v>2147</v>
      </c>
      <c r="B1438" s="114" t="s">
        <v>1739</v>
      </c>
      <c r="C1438" s="114">
        <v>2</v>
      </c>
      <c r="D1438" s="116">
        <v>0.0027739607832538513</v>
      </c>
      <c r="E1438" s="116">
        <v>0.8622869753552712</v>
      </c>
      <c r="F1438" s="114" t="s">
        <v>1710</v>
      </c>
      <c r="G1438" s="114" t="b">
        <v>0</v>
      </c>
      <c r="H1438" s="114" t="b">
        <v>0</v>
      </c>
      <c r="I1438" s="114" t="b">
        <v>0</v>
      </c>
      <c r="J1438" s="114" t="b">
        <v>0</v>
      </c>
      <c r="K1438" s="114" t="b">
        <v>0</v>
      </c>
      <c r="L1438" s="114" t="b">
        <v>0</v>
      </c>
    </row>
    <row r="1439" spans="1:12" ht="15">
      <c r="A1439" s="114" t="s">
        <v>1751</v>
      </c>
      <c r="B1439" s="114" t="s">
        <v>1746</v>
      </c>
      <c r="C1439" s="114">
        <v>2</v>
      </c>
      <c r="D1439" s="116">
        <v>0.0021905693187887717</v>
      </c>
      <c r="E1439" s="116">
        <v>0.9851327224577273</v>
      </c>
      <c r="F1439" s="114" t="s">
        <v>1710</v>
      </c>
      <c r="G1439" s="114" t="b">
        <v>0</v>
      </c>
      <c r="H1439" s="114" t="b">
        <v>1</v>
      </c>
      <c r="I1439" s="114" t="b">
        <v>0</v>
      </c>
      <c r="J1439" s="114" t="b">
        <v>0</v>
      </c>
      <c r="K1439" s="114" t="b">
        <v>1</v>
      </c>
      <c r="L1439" s="114" t="b">
        <v>0</v>
      </c>
    </row>
    <row r="1440" spans="1:12" ht="15">
      <c r="A1440" s="114" t="s">
        <v>1890</v>
      </c>
      <c r="B1440" s="114" t="s">
        <v>1741</v>
      </c>
      <c r="C1440" s="114">
        <v>2</v>
      </c>
      <c r="D1440" s="116">
        <v>0.0027739607832538513</v>
      </c>
      <c r="E1440" s="116">
        <v>0.8898962933392369</v>
      </c>
      <c r="F1440" s="114" t="s">
        <v>1710</v>
      </c>
      <c r="G1440" s="114" t="b">
        <v>0</v>
      </c>
      <c r="H1440" s="114" t="b">
        <v>0</v>
      </c>
      <c r="I1440" s="114" t="b">
        <v>0</v>
      </c>
      <c r="J1440" s="114" t="b">
        <v>0</v>
      </c>
      <c r="K1440" s="114" t="b">
        <v>0</v>
      </c>
      <c r="L1440" s="114" t="b">
        <v>0</v>
      </c>
    </row>
    <row r="1441" spans="1:12" ht="15">
      <c r="A1441" s="114" t="s">
        <v>1767</v>
      </c>
      <c r="B1441" s="114" t="s">
        <v>1739</v>
      </c>
      <c r="C1441" s="114">
        <v>2</v>
      </c>
      <c r="D1441" s="116">
        <v>0.0027739607832538513</v>
      </c>
      <c r="E1441" s="116">
        <v>0.56125697969129</v>
      </c>
      <c r="F1441" s="114" t="s">
        <v>1710</v>
      </c>
      <c r="G1441" s="114" t="b">
        <v>0</v>
      </c>
      <c r="H1441" s="114" t="b">
        <v>0</v>
      </c>
      <c r="I1441" s="114" t="b">
        <v>0</v>
      </c>
      <c r="J1441" s="114" t="b">
        <v>0</v>
      </c>
      <c r="K1441" s="114" t="b">
        <v>0</v>
      </c>
      <c r="L1441" s="114" t="b">
        <v>0</v>
      </c>
    </row>
    <row r="1442" spans="1:12" ht="15">
      <c r="A1442" s="114" t="s">
        <v>1741</v>
      </c>
      <c r="B1442" s="114" t="s">
        <v>1743</v>
      </c>
      <c r="C1442" s="114">
        <v>38</v>
      </c>
      <c r="D1442" s="116">
        <v>0.009558109393901976</v>
      </c>
      <c r="E1442" s="116">
        <v>1.3000188322691189</v>
      </c>
      <c r="F1442" s="114" t="s">
        <v>1711</v>
      </c>
      <c r="G1442" s="114" t="b">
        <v>0</v>
      </c>
      <c r="H1442" s="114" t="b">
        <v>0</v>
      </c>
      <c r="I1442" s="114" t="b">
        <v>0</v>
      </c>
      <c r="J1442" s="114" t="b">
        <v>0</v>
      </c>
      <c r="K1442" s="114" t="b">
        <v>0</v>
      </c>
      <c r="L1442" s="114" t="b">
        <v>0</v>
      </c>
    </row>
    <row r="1443" spans="1:12" ht="15">
      <c r="A1443" s="114" t="s">
        <v>1740</v>
      </c>
      <c r="B1443" s="114" t="s">
        <v>1740</v>
      </c>
      <c r="C1443" s="114">
        <v>9</v>
      </c>
      <c r="D1443" s="116">
        <v>0.00939610973420791</v>
      </c>
      <c r="E1443" s="116">
        <v>0.42309123819299754</v>
      </c>
      <c r="F1443" s="114" t="s">
        <v>1711</v>
      </c>
      <c r="G1443" s="114" t="b">
        <v>0</v>
      </c>
      <c r="H1443" s="114" t="b">
        <v>0</v>
      </c>
      <c r="I1443" s="114" t="b">
        <v>0</v>
      </c>
      <c r="J1443" s="114" t="b">
        <v>0</v>
      </c>
      <c r="K1443" s="114" t="b">
        <v>0</v>
      </c>
      <c r="L1443" s="114" t="b">
        <v>0</v>
      </c>
    </row>
    <row r="1444" spans="1:12" ht="15">
      <c r="A1444" s="114" t="s">
        <v>1739</v>
      </c>
      <c r="B1444" s="114" t="s">
        <v>1748</v>
      </c>
      <c r="C1444" s="114">
        <v>8</v>
      </c>
      <c r="D1444" s="116">
        <v>0.005621666741844843</v>
      </c>
      <c r="E1444" s="116">
        <v>0.7516436999039329</v>
      </c>
      <c r="F1444" s="114" t="s">
        <v>1711</v>
      </c>
      <c r="G1444" s="114" t="b">
        <v>0</v>
      </c>
      <c r="H1444" s="114" t="b">
        <v>0</v>
      </c>
      <c r="I1444" s="114" t="b">
        <v>0</v>
      </c>
      <c r="J1444" s="114" t="b">
        <v>0</v>
      </c>
      <c r="K1444" s="114" t="b">
        <v>0</v>
      </c>
      <c r="L1444" s="114" t="b">
        <v>0</v>
      </c>
    </row>
    <row r="1445" spans="1:12" ht="15">
      <c r="A1445" s="114" t="s">
        <v>1785</v>
      </c>
      <c r="B1445" s="114" t="s">
        <v>1789</v>
      </c>
      <c r="C1445" s="114">
        <v>8</v>
      </c>
      <c r="D1445" s="116">
        <v>0.0126797279698144</v>
      </c>
      <c r="E1445" s="116">
        <v>2.030397300856762</v>
      </c>
      <c r="F1445" s="114" t="s">
        <v>1711</v>
      </c>
      <c r="G1445" s="114" t="b">
        <v>0</v>
      </c>
      <c r="H1445" s="114" t="b">
        <v>0</v>
      </c>
      <c r="I1445" s="114" t="b">
        <v>0</v>
      </c>
      <c r="J1445" s="114" t="b">
        <v>0</v>
      </c>
      <c r="K1445" s="114" t="b">
        <v>0</v>
      </c>
      <c r="L1445" s="114" t="b">
        <v>0</v>
      </c>
    </row>
    <row r="1446" spans="1:12" ht="15">
      <c r="A1446" s="114" t="s">
        <v>1743</v>
      </c>
      <c r="B1446" s="114" t="s">
        <v>1742</v>
      </c>
      <c r="C1446" s="114">
        <v>7</v>
      </c>
      <c r="D1446" s="116">
        <v>0.0063165080741593264</v>
      </c>
      <c r="E1446" s="116">
        <v>0.8301723620843613</v>
      </c>
      <c r="F1446" s="114" t="s">
        <v>1711</v>
      </c>
      <c r="G1446" s="114" t="b">
        <v>0</v>
      </c>
      <c r="H1446" s="114" t="b">
        <v>0</v>
      </c>
      <c r="I1446" s="114" t="b">
        <v>0</v>
      </c>
      <c r="J1446" s="114" t="b">
        <v>0</v>
      </c>
      <c r="K1446" s="114" t="b">
        <v>0</v>
      </c>
      <c r="L1446" s="114" t="b">
        <v>0</v>
      </c>
    </row>
    <row r="1447" spans="1:12" ht="15">
      <c r="A1447" s="114" t="s">
        <v>1739</v>
      </c>
      <c r="B1447" s="114" t="s">
        <v>1804</v>
      </c>
      <c r="C1447" s="114">
        <v>7</v>
      </c>
      <c r="D1447" s="116">
        <v>0.0063165080741593264</v>
      </c>
      <c r="E1447" s="116">
        <v>0.9946817485902273</v>
      </c>
      <c r="F1447" s="114" t="s">
        <v>1711</v>
      </c>
      <c r="G1447" s="114" t="b">
        <v>0</v>
      </c>
      <c r="H1447" s="114" t="b">
        <v>0</v>
      </c>
      <c r="I1447" s="114" t="b">
        <v>0</v>
      </c>
      <c r="J1447" s="114" t="b">
        <v>0</v>
      </c>
      <c r="K1447" s="114" t="b">
        <v>0</v>
      </c>
      <c r="L1447" s="114" t="b">
        <v>0</v>
      </c>
    </row>
    <row r="1448" spans="1:12" ht="15">
      <c r="A1448" s="114" t="s">
        <v>1753</v>
      </c>
      <c r="B1448" s="114" t="s">
        <v>1839</v>
      </c>
      <c r="C1448" s="114">
        <v>7</v>
      </c>
      <c r="D1448" s="116">
        <v>0.007308085348828375</v>
      </c>
      <c r="E1448" s="116">
        <v>1.7963140948233938</v>
      </c>
      <c r="F1448" s="114" t="s">
        <v>1711</v>
      </c>
      <c r="G1448" s="114" t="b">
        <v>0</v>
      </c>
      <c r="H1448" s="114" t="b">
        <v>0</v>
      </c>
      <c r="I1448" s="114" t="b">
        <v>0</v>
      </c>
      <c r="J1448" s="114" t="b">
        <v>0</v>
      </c>
      <c r="K1448" s="114" t="b">
        <v>0</v>
      </c>
      <c r="L1448" s="114" t="b">
        <v>0</v>
      </c>
    </row>
    <row r="1449" spans="1:12" ht="15">
      <c r="A1449" s="114" t="s">
        <v>1743</v>
      </c>
      <c r="B1449" s="114" t="s">
        <v>1739</v>
      </c>
      <c r="C1449" s="114">
        <v>6</v>
      </c>
      <c r="D1449" s="116">
        <v>0.0042162500563836325</v>
      </c>
      <c r="E1449" s="116">
        <v>0.2801139540448982</v>
      </c>
      <c r="F1449" s="114" t="s">
        <v>1711</v>
      </c>
      <c r="G1449" s="114" t="b">
        <v>0</v>
      </c>
      <c r="H1449" s="114" t="b">
        <v>0</v>
      </c>
      <c r="I1449" s="114" t="b">
        <v>0</v>
      </c>
      <c r="J1449" s="114" t="b">
        <v>0</v>
      </c>
      <c r="K1449" s="114" t="b">
        <v>0</v>
      </c>
      <c r="L1449" s="114" t="b">
        <v>0</v>
      </c>
    </row>
    <row r="1450" spans="1:12" ht="15">
      <c r="A1450" s="114" t="s">
        <v>1739</v>
      </c>
      <c r="B1450" s="114" t="s">
        <v>1742</v>
      </c>
      <c r="C1450" s="114">
        <v>6</v>
      </c>
      <c r="D1450" s="116">
        <v>0.0047548979886804</v>
      </c>
      <c r="E1450" s="116">
        <v>0.45061370423995173</v>
      </c>
      <c r="F1450" s="114" t="s">
        <v>1711</v>
      </c>
      <c r="G1450" s="114" t="b">
        <v>0</v>
      </c>
      <c r="H1450" s="114" t="b">
        <v>0</v>
      </c>
      <c r="I1450" s="114" t="b">
        <v>0</v>
      </c>
      <c r="J1450" s="114" t="b">
        <v>0</v>
      </c>
      <c r="K1450" s="114" t="b">
        <v>0</v>
      </c>
      <c r="L1450" s="114" t="b">
        <v>0</v>
      </c>
    </row>
    <row r="1451" spans="1:12" ht="15">
      <c r="A1451" s="114" t="s">
        <v>1739</v>
      </c>
      <c r="B1451" s="114" t="s">
        <v>1740</v>
      </c>
      <c r="C1451" s="114">
        <v>6</v>
      </c>
      <c r="D1451" s="116">
        <v>0.0042162500563836325</v>
      </c>
      <c r="E1451" s="116">
        <v>0.10654907635076871</v>
      </c>
      <c r="F1451" s="114" t="s">
        <v>1711</v>
      </c>
      <c r="G1451" s="114" t="b">
        <v>0</v>
      </c>
      <c r="H1451" s="114" t="b">
        <v>0</v>
      </c>
      <c r="I1451" s="114" t="b">
        <v>0</v>
      </c>
      <c r="J1451" s="114" t="b">
        <v>0</v>
      </c>
      <c r="K1451" s="114" t="b">
        <v>0</v>
      </c>
      <c r="L1451" s="114" t="b">
        <v>0</v>
      </c>
    </row>
    <row r="1452" spans="1:12" ht="15">
      <c r="A1452" s="114" t="s">
        <v>1849</v>
      </c>
      <c r="B1452" s="114" t="s">
        <v>1739</v>
      </c>
      <c r="C1452" s="114">
        <v>6</v>
      </c>
      <c r="D1452" s="116">
        <v>0.0054141497778508515</v>
      </c>
      <c r="E1452" s="116">
        <v>1.0032176380976363</v>
      </c>
      <c r="F1452" s="114" t="s">
        <v>1711</v>
      </c>
      <c r="G1452" s="114" t="b">
        <v>0</v>
      </c>
      <c r="H1452" s="114" t="b">
        <v>0</v>
      </c>
      <c r="I1452" s="114" t="b">
        <v>0</v>
      </c>
      <c r="J1452" s="114" t="b">
        <v>0</v>
      </c>
      <c r="K1452" s="114" t="b">
        <v>0</v>
      </c>
      <c r="L1452" s="114" t="b">
        <v>0</v>
      </c>
    </row>
    <row r="1453" spans="1:12" ht="15">
      <c r="A1453" s="114" t="s">
        <v>1742</v>
      </c>
      <c r="B1453" s="114" t="s">
        <v>1741</v>
      </c>
      <c r="C1453" s="114">
        <v>5</v>
      </c>
      <c r="D1453" s="116">
        <v>0.005220060963448839</v>
      </c>
      <c r="E1453" s="116">
        <v>0.6372610005875449</v>
      </c>
      <c r="F1453" s="114" t="s">
        <v>1711</v>
      </c>
      <c r="G1453" s="114" t="b">
        <v>0</v>
      </c>
      <c r="H1453" s="114" t="b">
        <v>0</v>
      </c>
      <c r="I1453" s="114" t="b">
        <v>0</v>
      </c>
      <c r="J1453" s="114" t="b">
        <v>0</v>
      </c>
      <c r="K1453" s="114" t="b">
        <v>0</v>
      </c>
      <c r="L1453" s="114" t="b">
        <v>0</v>
      </c>
    </row>
    <row r="1454" spans="1:12" ht="15">
      <c r="A1454" s="114" t="s">
        <v>1744</v>
      </c>
      <c r="B1454" s="114" t="s">
        <v>1746</v>
      </c>
      <c r="C1454" s="114">
        <v>5</v>
      </c>
      <c r="D1454" s="116">
        <v>0.003962414990567</v>
      </c>
      <c r="E1454" s="116">
        <v>1.4071480104588614</v>
      </c>
      <c r="F1454" s="114" t="s">
        <v>1711</v>
      </c>
      <c r="G1454" s="114" t="b">
        <v>0</v>
      </c>
      <c r="H1454" s="114" t="b">
        <v>0</v>
      </c>
      <c r="I1454" s="114" t="b">
        <v>0</v>
      </c>
      <c r="J1454" s="114" t="b">
        <v>0</v>
      </c>
      <c r="K1454" s="114" t="b">
        <v>1</v>
      </c>
      <c r="L1454" s="114" t="b">
        <v>0</v>
      </c>
    </row>
    <row r="1455" spans="1:12" ht="15">
      <c r="A1455" s="114" t="s">
        <v>1739</v>
      </c>
      <c r="B1455" s="114" t="s">
        <v>1751</v>
      </c>
      <c r="C1455" s="114">
        <v>5</v>
      </c>
      <c r="D1455" s="116">
        <v>0.003962414990567</v>
      </c>
      <c r="E1455" s="116">
        <v>0.797401190464608</v>
      </c>
      <c r="F1455" s="114" t="s">
        <v>1711</v>
      </c>
      <c r="G1455" s="114" t="b">
        <v>0</v>
      </c>
      <c r="H1455" s="114" t="b">
        <v>0</v>
      </c>
      <c r="I1455" s="114" t="b">
        <v>0</v>
      </c>
      <c r="J1455" s="114" t="b">
        <v>0</v>
      </c>
      <c r="K1455" s="114" t="b">
        <v>1</v>
      </c>
      <c r="L1455" s="114" t="b">
        <v>0</v>
      </c>
    </row>
    <row r="1456" spans="1:12" ht="15">
      <c r="A1456" s="114" t="s">
        <v>1740</v>
      </c>
      <c r="B1456" s="114" t="s">
        <v>1741</v>
      </c>
      <c r="C1456" s="114">
        <v>5</v>
      </c>
      <c r="D1456" s="116">
        <v>0.003962414990567</v>
      </c>
      <c r="E1456" s="116">
        <v>0.2586261471108939</v>
      </c>
      <c r="F1456" s="114" t="s">
        <v>1711</v>
      </c>
      <c r="G1456" s="114" t="b">
        <v>0</v>
      </c>
      <c r="H1456" s="114" t="b">
        <v>0</v>
      </c>
      <c r="I1456" s="114" t="b">
        <v>0</v>
      </c>
      <c r="J1456" s="114" t="b">
        <v>0</v>
      </c>
      <c r="K1456" s="114" t="b">
        <v>0</v>
      </c>
      <c r="L1456" s="114" t="b">
        <v>0</v>
      </c>
    </row>
    <row r="1457" spans="1:12" ht="15">
      <c r="A1457" s="114" t="s">
        <v>1829</v>
      </c>
      <c r="B1457" s="114" t="s">
        <v>1859</v>
      </c>
      <c r="C1457" s="114">
        <v>5</v>
      </c>
      <c r="D1457" s="116">
        <v>0.007924829981134</v>
      </c>
      <c r="E1457" s="116">
        <v>2.0092080017868237</v>
      </c>
      <c r="F1457" s="114" t="s">
        <v>1711</v>
      </c>
      <c r="G1457" s="114" t="b">
        <v>0</v>
      </c>
      <c r="H1457" s="114" t="b">
        <v>0</v>
      </c>
      <c r="I1457" s="114" t="b">
        <v>0</v>
      </c>
      <c r="J1457" s="114" t="b">
        <v>0</v>
      </c>
      <c r="K1457" s="114" t="b">
        <v>0</v>
      </c>
      <c r="L1457" s="114" t="b">
        <v>0</v>
      </c>
    </row>
    <row r="1458" spans="1:12" ht="15">
      <c r="A1458" s="114" t="s">
        <v>1740</v>
      </c>
      <c r="B1458" s="114" t="s">
        <v>1739</v>
      </c>
      <c r="C1458" s="114">
        <v>4</v>
      </c>
      <c r="D1458" s="116">
        <v>0.003609433185233901</v>
      </c>
      <c r="E1458" s="116">
        <v>-0.06813827043803189</v>
      </c>
      <c r="F1458" s="114" t="s">
        <v>1711</v>
      </c>
      <c r="G1458" s="114" t="b">
        <v>0</v>
      </c>
      <c r="H1458" s="114" t="b">
        <v>0</v>
      </c>
      <c r="I1458" s="114" t="b">
        <v>0</v>
      </c>
      <c r="J1458" s="114" t="b">
        <v>0</v>
      </c>
      <c r="K1458" s="114" t="b">
        <v>0</v>
      </c>
      <c r="L1458" s="114" t="b">
        <v>0</v>
      </c>
    </row>
    <row r="1459" spans="1:12" ht="15">
      <c r="A1459" s="114" t="s">
        <v>1750</v>
      </c>
      <c r="B1459" s="114" t="s">
        <v>1739</v>
      </c>
      <c r="C1459" s="114">
        <v>4</v>
      </c>
      <c r="D1459" s="116">
        <v>0.004176048770759071</v>
      </c>
      <c r="E1459" s="116">
        <v>0.6308317338979869</v>
      </c>
      <c r="F1459" s="114" t="s">
        <v>1711</v>
      </c>
      <c r="G1459" s="114" t="b">
        <v>0</v>
      </c>
      <c r="H1459" s="114" t="b">
        <v>0</v>
      </c>
      <c r="I1459" s="114" t="b">
        <v>0</v>
      </c>
      <c r="J1459" s="114" t="b">
        <v>0</v>
      </c>
      <c r="K1459" s="114" t="b">
        <v>0</v>
      </c>
      <c r="L1459" s="114" t="b">
        <v>0</v>
      </c>
    </row>
    <row r="1460" spans="1:12" ht="15">
      <c r="A1460" s="114" t="s">
        <v>1751</v>
      </c>
      <c r="B1460" s="114" t="s">
        <v>1739</v>
      </c>
      <c r="C1460" s="114">
        <v>4</v>
      </c>
      <c r="D1460" s="116">
        <v>0.004176048770759071</v>
      </c>
      <c r="E1460" s="116">
        <v>0.717981909616887</v>
      </c>
      <c r="F1460" s="114" t="s">
        <v>1711</v>
      </c>
      <c r="G1460" s="114" t="b">
        <v>0</v>
      </c>
      <c r="H1460" s="114" t="b">
        <v>1</v>
      </c>
      <c r="I1460" s="114" t="b">
        <v>0</v>
      </c>
      <c r="J1460" s="114" t="b">
        <v>0</v>
      </c>
      <c r="K1460" s="114" t="b">
        <v>0</v>
      </c>
      <c r="L1460" s="114" t="b">
        <v>0</v>
      </c>
    </row>
    <row r="1461" spans="1:12" ht="15">
      <c r="A1461" s="114" t="s">
        <v>1914</v>
      </c>
      <c r="B1461" s="114" t="s">
        <v>1988</v>
      </c>
      <c r="C1461" s="114">
        <v>4</v>
      </c>
      <c r="D1461" s="116">
        <v>0.0063398639849072</v>
      </c>
      <c r="E1461" s="116">
        <v>2.088389247834449</v>
      </c>
      <c r="F1461" s="114" t="s">
        <v>1711</v>
      </c>
      <c r="G1461" s="114" t="b">
        <v>0</v>
      </c>
      <c r="H1461" s="114" t="b">
        <v>0</v>
      </c>
      <c r="I1461" s="114" t="b">
        <v>0</v>
      </c>
      <c r="J1461" s="114" t="b">
        <v>0</v>
      </c>
      <c r="K1461" s="114" t="b">
        <v>0</v>
      </c>
      <c r="L1461" s="114" t="b">
        <v>0</v>
      </c>
    </row>
    <row r="1462" spans="1:12" ht="15">
      <c r="A1462" s="114" t="s">
        <v>1739</v>
      </c>
      <c r="B1462" s="114" t="s">
        <v>1741</v>
      </c>
      <c r="C1462" s="114">
        <v>4</v>
      </c>
      <c r="D1462" s="116">
        <v>0.004176048770759071</v>
      </c>
      <c r="E1462" s="116">
        <v>0.02126523131628988</v>
      </c>
      <c r="F1462" s="114" t="s">
        <v>1711</v>
      </c>
      <c r="G1462" s="114" t="b">
        <v>0</v>
      </c>
      <c r="H1462" s="114" t="b">
        <v>0</v>
      </c>
      <c r="I1462" s="114" t="b">
        <v>0</v>
      </c>
      <c r="J1462" s="114" t="b">
        <v>0</v>
      </c>
      <c r="K1462" s="114" t="b">
        <v>0</v>
      </c>
      <c r="L1462" s="114" t="b">
        <v>0</v>
      </c>
    </row>
    <row r="1463" spans="1:12" ht="15">
      <c r="A1463" s="114" t="s">
        <v>1740</v>
      </c>
      <c r="B1463" s="114" t="s">
        <v>1755</v>
      </c>
      <c r="C1463" s="114">
        <v>4</v>
      </c>
      <c r="D1463" s="116">
        <v>0.003609433185233901</v>
      </c>
      <c r="E1463" s="116">
        <v>1.0170333392987803</v>
      </c>
      <c r="F1463" s="114" t="s">
        <v>1711</v>
      </c>
      <c r="G1463" s="114" t="b">
        <v>0</v>
      </c>
      <c r="H1463" s="114" t="b">
        <v>0</v>
      </c>
      <c r="I1463" s="114" t="b">
        <v>0</v>
      </c>
      <c r="J1463" s="114" t="b">
        <v>0</v>
      </c>
      <c r="K1463" s="114" t="b">
        <v>0</v>
      </c>
      <c r="L1463" s="114" t="b">
        <v>0</v>
      </c>
    </row>
    <row r="1464" spans="1:12" ht="15">
      <c r="A1464" s="114" t="s">
        <v>1740</v>
      </c>
      <c r="B1464" s="114" t="s">
        <v>1857</v>
      </c>
      <c r="C1464" s="114">
        <v>4</v>
      </c>
      <c r="D1464" s="116">
        <v>0.003609433185233901</v>
      </c>
      <c r="E1464" s="116">
        <v>1.1931245983544616</v>
      </c>
      <c r="F1464" s="114" t="s">
        <v>1711</v>
      </c>
      <c r="G1464" s="114" t="b">
        <v>0</v>
      </c>
      <c r="H1464" s="114" t="b">
        <v>0</v>
      </c>
      <c r="I1464" s="114" t="b">
        <v>0</v>
      </c>
      <c r="J1464" s="114" t="b">
        <v>0</v>
      </c>
      <c r="K1464" s="114" t="b">
        <v>0</v>
      </c>
      <c r="L1464" s="114" t="b">
        <v>0</v>
      </c>
    </row>
    <row r="1465" spans="1:12" ht="15">
      <c r="A1465" s="114" t="s">
        <v>1780</v>
      </c>
      <c r="B1465" s="114" t="s">
        <v>1781</v>
      </c>
      <c r="C1465" s="114">
        <v>4</v>
      </c>
      <c r="D1465" s="116">
        <v>0.003609433185233901</v>
      </c>
      <c r="E1465" s="116">
        <v>2.331427296520743</v>
      </c>
      <c r="F1465" s="114" t="s">
        <v>1711</v>
      </c>
      <c r="G1465" s="114" t="b">
        <v>0</v>
      </c>
      <c r="H1465" s="114" t="b">
        <v>0</v>
      </c>
      <c r="I1465" s="114" t="b">
        <v>0</v>
      </c>
      <c r="J1465" s="114" t="b">
        <v>0</v>
      </c>
      <c r="K1465" s="114" t="b">
        <v>0</v>
      </c>
      <c r="L1465" s="114" t="b">
        <v>0</v>
      </c>
    </row>
    <row r="1466" spans="1:12" ht="15">
      <c r="A1466" s="114" t="s">
        <v>1761</v>
      </c>
      <c r="B1466" s="114" t="s">
        <v>1745</v>
      </c>
      <c r="C1466" s="114">
        <v>4</v>
      </c>
      <c r="D1466" s="116">
        <v>0.004176048770759071</v>
      </c>
      <c r="E1466" s="116">
        <v>1.9334872878487055</v>
      </c>
      <c r="F1466" s="114" t="s">
        <v>1711</v>
      </c>
      <c r="G1466" s="114" t="b">
        <v>0</v>
      </c>
      <c r="H1466" s="114" t="b">
        <v>0</v>
      </c>
      <c r="I1466" s="114" t="b">
        <v>0</v>
      </c>
      <c r="J1466" s="114" t="b">
        <v>0</v>
      </c>
      <c r="K1466" s="114" t="b">
        <v>0</v>
      </c>
      <c r="L1466" s="114" t="b">
        <v>0</v>
      </c>
    </row>
    <row r="1467" spans="1:12" ht="15">
      <c r="A1467" s="114" t="s">
        <v>1747</v>
      </c>
      <c r="B1467" s="114" t="s">
        <v>1913</v>
      </c>
      <c r="C1467" s="114">
        <v>4</v>
      </c>
      <c r="D1467" s="116">
        <v>0.004176048770759071</v>
      </c>
      <c r="E1467" s="116">
        <v>1.7226339225338123</v>
      </c>
      <c r="F1467" s="114" t="s">
        <v>1711</v>
      </c>
      <c r="G1467" s="114" t="b">
        <v>0</v>
      </c>
      <c r="H1467" s="114" t="b">
        <v>0</v>
      </c>
      <c r="I1467" s="114" t="b">
        <v>0</v>
      </c>
      <c r="J1467" s="114" t="b">
        <v>0</v>
      </c>
      <c r="K1467" s="114" t="b">
        <v>0</v>
      </c>
      <c r="L1467" s="114" t="b">
        <v>0</v>
      </c>
    </row>
    <row r="1468" spans="1:12" ht="15">
      <c r="A1468" s="114" t="s">
        <v>1748</v>
      </c>
      <c r="B1468" s="114" t="s">
        <v>1739</v>
      </c>
      <c r="C1468" s="114">
        <v>4</v>
      </c>
      <c r="D1468" s="116">
        <v>0.004176048770759071</v>
      </c>
      <c r="E1468" s="116">
        <v>0.49613316000053065</v>
      </c>
      <c r="F1468" s="114" t="s">
        <v>1711</v>
      </c>
      <c r="G1468" s="114" t="b">
        <v>0</v>
      </c>
      <c r="H1468" s="114" t="b">
        <v>0</v>
      </c>
      <c r="I1468" s="114" t="b">
        <v>0</v>
      </c>
      <c r="J1468" s="114" t="b">
        <v>0</v>
      </c>
      <c r="K1468" s="114" t="b">
        <v>0</v>
      </c>
      <c r="L1468" s="114" t="b">
        <v>0</v>
      </c>
    </row>
    <row r="1469" spans="1:12" ht="15">
      <c r="A1469" s="114" t="s">
        <v>1739</v>
      </c>
      <c r="B1469" s="114" t="s">
        <v>1849</v>
      </c>
      <c r="C1469" s="114">
        <v>4</v>
      </c>
      <c r="D1469" s="116">
        <v>0.003609433185233901</v>
      </c>
      <c r="E1469" s="116">
        <v>0.8096356468816196</v>
      </c>
      <c r="F1469" s="114" t="s">
        <v>1711</v>
      </c>
      <c r="G1469" s="114" t="b">
        <v>0</v>
      </c>
      <c r="H1469" s="114" t="b">
        <v>0</v>
      </c>
      <c r="I1469" s="114" t="b">
        <v>0</v>
      </c>
      <c r="J1469" s="114" t="b">
        <v>0</v>
      </c>
      <c r="K1469" s="114" t="b">
        <v>0</v>
      </c>
      <c r="L1469" s="114" t="b">
        <v>0</v>
      </c>
    </row>
    <row r="1470" spans="1:12" ht="15">
      <c r="A1470" s="114" t="s">
        <v>1766</v>
      </c>
      <c r="B1470" s="114" t="s">
        <v>1740</v>
      </c>
      <c r="C1470" s="114">
        <v>4</v>
      </c>
      <c r="D1470" s="116">
        <v>0.003609433185233901</v>
      </c>
      <c r="E1470" s="116">
        <v>1.2092114182479166</v>
      </c>
      <c r="F1470" s="114" t="s">
        <v>1711</v>
      </c>
      <c r="G1470" s="114" t="b">
        <v>0</v>
      </c>
      <c r="H1470" s="114" t="b">
        <v>1</v>
      </c>
      <c r="I1470" s="114" t="b">
        <v>0</v>
      </c>
      <c r="J1470" s="114" t="b">
        <v>0</v>
      </c>
      <c r="K1470" s="114" t="b">
        <v>0</v>
      </c>
      <c r="L1470" s="114" t="b">
        <v>0</v>
      </c>
    </row>
    <row r="1471" spans="1:12" ht="15">
      <c r="A1471" s="114" t="s">
        <v>1936</v>
      </c>
      <c r="B1471" s="114" t="s">
        <v>1911</v>
      </c>
      <c r="C1471" s="114">
        <v>4</v>
      </c>
      <c r="D1471" s="116">
        <v>0.0063398639849072</v>
      </c>
      <c r="E1471" s="116">
        <v>1.991479234826392</v>
      </c>
      <c r="F1471" s="114" t="s">
        <v>1711</v>
      </c>
      <c r="G1471" s="114" t="b">
        <v>0</v>
      </c>
      <c r="H1471" s="114" t="b">
        <v>0</v>
      </c>
      <c r="I1471" s="114" t="b">
        <v>0</v>
      </c>
      <c r="J1471" s="114" t="b">
        <v>0</v>
      </c>
      <c r="K1471" s="114" t="b">
        <v>0</v>
      </c>
      <c r="L1471" s="114" t="b">
        <v>0</v>
      </c>
    </row>
    <row r="1472" spans="1:12" ht="15">
      <c r="A1472" s="114" t="s">
        <v>1742</v>
      </c>
      <c r="B1472" s="114" t="s">
        <v>1739</v>
      </c>
      <c r="C1472" s="114">
        <v>3</v>
      </c>
      <c r="D1472" s="116">
        <v>0.0031320365780693033</v>
      </c>
      <c r="E1472" s="116">
        <v>0.18555784643031908</v>
      </c>
      <c r="F1472" s="114" t="s">
        <v>1711</v>
      </c>
      <c r="G1472" s="114" t="b">
        <v>0</v>
      </c>
      <c r="H1472" s="114" t="b">
        <v>0</v>
      </c>
      <c r="I1472" s="114" t="b">
        <v>0</v>
      </c>
      <c r="J1472" s="114" t="b">
        <v>0</v>
      </c>
      <c r="K1472" s="114" t="b">
        <v>0</v>
      </c>
      <c r="L1472" s="114" t="b">
        <v>0</v>
      </c>
    </row>
    <row r="1473" spans="1:12" ht="15">
      <c r="A1473" s="114" t="s">
        <v>1739</v>
      </c>
      <c r="B1473" s="114" t="s">
        <v>1744</v>
      </c>
      <c r="C1473" s="114">
        <v>3</v>
      </c>
      <c r="D1473" s="116">
        <v>0.0037309864388029128</v>
      </c>
      <c r="E1473" s="116">
        <v>0.41585159798073973</v>
      </c>
      <c r="F1473" s="114" t="s">
        <v>1711</v>
      </c>
      <c r="G1473" s="114" t="b">
        <v>0</v>
      </c>
      <c r="H1473" s="114" t="b">
        <v>0</v>
      </c>
      <c r="I1473" s="114" t="b">
        <v>0</v>
      </c>
      <c r="J1473" s="114" t="b">
        <v>0</v>
      </c>
      <c r="K1473" s="114" t="b">
        <v>0</v>
      </c>
      <c r="L1473" s="114" t="b">
        <v>0</v>
      </c>
    </row>
    <row r="1474" spans="1:12" ht="15">
      <c r="A1474" s="114" t="s">
        <v>1742</v>
      </c>
      <c r="B1474" s="114" t="s">
        <v>1742</v>
      </c>
      <c r="C1474" s="114">
        <v>3</v>
      </c>
      <c r="D1474" s="116">
        <v>0.0031320365780693033</v>
      </c>
      <c r="E1474" s="116">
        <v>0.6686694648391689</v>
      </c>
      <c r="F1474" s="114" t="s">
        <v>1711</v>
      </c>
      <c r="G1474" s="114" t="b">
        <v>0</v>
      </c>
      <c r="H1474" s="114" t="b">
        <v>0</v>
      </c>
      <c r="I1474" s="114" t="b">
        <v>0</v>
      </c>
      <c r="J1474" s="114" t="b">
        <v>0</v>
      </c>
      <c r="K1474" s="114" t="b">
        <v>0</v>
      </c>
      <c r="L1474" s="114" t="b">
        <v>0</v>
      </c>
    </row>
    <row r="1475" spans="1:12" ht="15">
      <c r="A1475" s="114" t="s">
        <v>1739</v>
      </c>
      <c r="B1475" s="114" t="s">
        <v>1750</v>
      </c>
      <c r="C1475" s="114">
        <v>3</v>
      </c>
      <c r="D1475" s="116">
        <v>0.0031320365780693033</v>
      </c>
      <c r="E1475" s="116">
        <v>0.45061370423995173</v>
      </c>
      <c r="F1475" s="114" t="s">
        <v>1711</v>
      </c>
      <c r="G1475" s="114" t="b">
        <v>0</v>
      </c>
      <c r="H1475" s="114" t="b">
        <v>0</v>
      </c>
      <c r="I1475" s="114" t="b">
        <v>0</v>
      </c>
      <c r="J1475" s="114" t="b">
        <v>0</v>
      </c>
      <c r="K1475" s="114" t="b">
        <v>0</v>
      </c>
      <c r="L1475" s="114" t="b">
        <v>0</v>
      </c>
    </row>
    <row r="1476" spans="1:12" ht="15">
      <c r="A1476" s="114" t="s">
        <v>2195</v>
      </c>
      <c r="B1476" s="114" t="s">
        <v>2196</v>
      </c>
      <c r="C1476" s="114">
        <v>3</v>
      </c>
      <c r="D1476" s="116">
        <v>0.0047548979886804</v>
      </c>
      <c r="E1476" s="116">
        <v>2.456366033129043</v>
      </c>
      <c r="F1476" s="114" t="s">
        <v>1711</v>
      </c>
      <c r="G1476" s="114" t="b">
        <v>0</v>
      </c>
      <c r="H1476" s="114" t="b">
        <v>0</v>
      </c>
      <c r="I1476" s="114" t="b">
        <v>0</v>
      </c>
      <c r="J1476" s="114" t="b">
        <v>0</v>
      </c>
      <c r="K1476" s="114" t="b">
        <v>0</v>
      </c>
      <c r="L1476" s="114" t="b">
        <v>0</v>
      </c>
    </row>
    <row r="1477" spans="1:12" ht="15">
      <c r="A1477" s="114" t="s">
        <v>1857</v>
      </c>
      <c r="B1477" s="114" t="s">
        <v>1858</v>
      </c>
      <c r="C1477" s="114">
        <v>3</v>
      </c>
      <c r="D1477" s="116">
        <v>0.0031320365780693033</v>
      </c>
      <c r="E1477" s="116">
        <v>2.331427296520743</v>
      </c>
      <c r="F1477" s="114" t="s">
        <v>1711</v>
      </c>
      <c r="G1477" s="114" t="b">
        <v>0</v>
      </c>
      <c r="H1477" s="114" t="b">
        <v>0</v>
      </c>
      <c r="I1477" s="114" t="b">
        <v>0</v>
      </c>
      <c r="J1477" s="114" t="b">
        <v>0</v>
      </c>
      <c r="K1477" s="114" t="b">
        <v>0</v>
      </c>
      <c r="L1477" s="114" t="b">
        <v>0</v>
      </c>
    </row>
    <row r="1478" spans="1:12" ht="15">
      <c r="A1478" s="114" t="s">
        <v>1743</v>
      </c>
      <c r="B1478" s="114" t="s">
        <v>1748</v>
      </c>
      <c r="C1478" s="114">
        <v>3</v>
      </c>
      <c r="D1478" s="116">
        <v>0.0031320365780693033</v>
      </c>
      <c r="E1478" s="116">
        <v>0.6382868358454482</v>
      </c>
      <c r="F1478" s="114" t="s">
        <v>1711</v>
      </c>
      <c r="G1478" s="114" t="b">
        <v>0</v>
      </c>
      <c r="H1478" s="114" t="b">
        <v>0</v>
      </c>
      <c r="I1478" s="114" t="b">
        <v>0</v>
      </c>
      <c r="J1478" s="114" t="b">
        <v>0</v>
      </c>
      <c r="K1478" s="114" t="b">
        <v>0</v>
      </c>
      <c r="L1478" s="114" t="b">
        <v>0</v>
      </c>
    </row>
    <row r="1479" spans="1:12" ht="15">
      <c r="A1479" s="114" t="s">
        <v>1740</v>
      </c>
      <c r="B1479" s="114" t="s">
        <v>1792</v>
      </c>
      <c r="C1479" s="114">
        <v>3</v>
      </c>
      <c r="D1479" s="116">
        <v>0.0037309864388029128</v>
      </c>
      <c r="E1479" s="116">
        <v>0.8920946026904805</v>
      </c>
      <c r="F1479" s="114" t="s">
        <v>1711</v>
      </c>
      <c r="G1479" s="114" t="b">
        <v>0</v>
      </c>
      <c r="H1479" s="114" t="b">
        <v>0</v>
      </c>
      <c r="I1479" s="114" t="b">
        <v>0</v>
      </c>
      <c r="J1479" s="114" t="b">
        <v>0</v>
      </c>
      <c r="K1479" s="114" t="b">
        <v>0</v>
      </c>
      <c r="L1479" s="114" t="b">
        <v>0</v>
      </c>
    </row>
    <row r="1480" spans="1:12" ht="15">
      <c r="A1480" s="114" t="s">
        <v>1757</v>
      </c>
      <c r="B1480" s="114" t="s">
        <v>1791</v>
      </c>
      <c r="C1480" s="114">
        <v>3</v>
      </c>
      <c r="D1480" s="116">
        <v>0.0037309864388029128</v>
      </c>
      <c r="E1480" s="116">
        <v>2.1095785469043866</v>
      </c>
      <c r="F1480" s="114" t="s">
        <v>1711</v>
      </c>
      <c r="G1480" s="114" t="b">
        <v>0</v>
      </c>
      <c r="H1480" s="114" t="b">
        <v>0</v>
      </c>
      <c r="I1480" s="114" t="b">
        <v>0</v>
      </c>
      <c r="J1480" s="114" t="b">
        <v>0</v>
      </c>
      <c r="K1480" s="114" t="b">
        <v>0</v>
      </c>
      <c r="L1480" s="114" t="b">
        <v>0</v>
      </c>
    </row>
    <row r="1481" spans="1:12" ht="15">
      <c r="A1481" s="114" t="s">
        <v>1791</v>
      </c>
      <c r="B1481" s="114" t="s">
        <v>1740</v>
      </c>
      <c r="C1481" s="114">
        <v>3</v>
      </c>
      <c r="D1481" s="116">
        <v>0.0037309864388029128</v>
      </c>
      <c r="E1481" s="116">
        <v>0.98736266863156</v>
      </c>
      <c r="F1481" s="114" t="s">
        <v>1711</v>
      </c>
      <c r="G1481" s="114" t="b">
        <v>0</v>
      </c>
      <c r="H1481" s="114" t="b">
        <v>0</v>
      </c>
      <c r="I1481" s="114" t="b">
        <v>0</v>
      </c>
      <c r="J1481" s="114" t="b">
        <v>0</v>
      </c>
      <c r="K1481" s="114" t="b">
        <v>0</v>
      </c>
      <c r="L1481" s="114" t="b">
        <v>0</v>
      </c>
    </row>
    <row r="1482" spans="1:12" ht="15">
      <c r="A1482" s="114" t="s">
        <v>1853</v>
      </c>
      <c r="B1482" s="114" t="s">
        <v>1829</v>
      </c>
      <c r="C1482" s="114">
        <v>3</v>
      </c>
      <c r="D1482" s="116">
        <v>0.0047548979886804</v>
      </c>
      <c r="E1482" s="116">
        <v>1.8665404982180922</v>
      </c>
      <c r="F1482" s="114" t="s">
        <v>1711</v>
      </c>
      <c r="G1482" s="114" t="b">
        <v>0</v>
      </c>
      <c r="H1482" s="114" t="b">
        <v>0</v>
      </c>
      <c r="I1482" s="114" t="b">
        <v>0</v>
      </c>
      <c r="J1482" s="114" t="b">
        <v>0</v>
      </c>
      <c r="K1482" s="114" t="b">
        <v>0</v>
      </c>
      <c r="L1482" s="114" t="b">
        <v>0</v>
      </c>
    </row>
    <row r="1483" spans="1:12" ht="15">
      <c r="A1483" s="114" t="s">
        <v>1741</v>
      </c>
      <c r="B1483" s="114" t="s">
        <v>1741</v>
      </c>
      <c r="C1483" s="114">
        <v>3</v>
      </c>
      <c r="D1483" s="116">
        <v>0.0031320365780693033</v>
      </c>
      <c r="E1483" s="116">
        <v>0.14367163140919473</v>
      </c>
      <c r="F1483" s="114" t="s">
        <v>1711</v>
      </c>
      <c r="G1483" s="114" t="b">
        <v>0</v>
      </c>
      <c r="H1483" s="114" t="b">
        <v>0</v>
      </c>
      <c r="I1483" s="114" t="b">
        <v>0</v>
      </c>
      <c r="J1483" s="114" t="b">
        <v>0</v>
      </c>
      <c r="K1483" s="114" t="b">
        <v>0</v>
      </c>
      <c r="L1483" s="114" t="b">
        <v>0</v>
      </c>
    </row>
    <row r="1484" spans="1:12" ht="15">
      <c r="A1484" s="114" t="s">
        <v>2078</v>
      </c>
      <c r="B1484" s="114" t="s">
        <v>2191</v>
      </c>
      <c r="C1484" s="114">
        <v>3</v>
      </c>
      <c r="D1484" s="116">
        <v>0.0047548979886804</v>
      </c>
      <c r="E1484" s="116">
        <v>2.456366033129043</v>
      </c>
      <c r="F1484" s="114" t="s">
        <v>1711</v>
      </c>
      <c r="G1484" s="114" t="b">
        <v>0</v>
      </c>
      <c r="H1484" s="114" t="b">
        <v>0</v>
      </c>
      <c r="I1484" s="114" t="b">
        <v>0</v>
      </c>
      <c r="J1484" s="114" t="b">
        <v>0</v>
      </c>
      <c r="K1484" s="114" t="b">
        <v>0</v>
      </c>
      <c r="L1484" s="114" t="b">
        <v>0</v>
      </c>
    </row>
    <row r="1485" spans="1:12" ht="15">
      <c r="A1485" s="114" t="s">
        <v>1739</v>
      </c>
      <c r="B1485" s="114" t="s">
        <v>1739</v>
      </c>
      <c r="C1485" s="114">
        <v>3</v>
      </c>
      <c r="D1485" s="116">
        <v>0.0031320365780693033</v>
      </c>
      <c r="E1485" s="116">
        <v>-0.33352790983287944</v>
      </c>
      <c r="F1485" s="114" t="s">
        <v>1711</v>
      </c>
      <c r="G1485" s="114" t="b">
        <v>0</v>
      </c>
      <c r="H1485" s="114" t="b">
        <v>0</v>
      </c>
      <c r="I1485" s="114" t="b">
        <v>0</v>
      </c>
      <c r="J1485" s="114" t="b">
        <v>0</v>
      </c>
      <c r="K1485" s="114" t="b">
        <v>0</v>
      </c>
      <c r="L1485" s="114" t="b">
        <v>0</v>
      </c>
    </row>
    <row r="1486" spans="1:12" ht="15">
      <c r="A1486" s="114" t="s">
        <v>1743</v>
      </c>
      <c r="B1486" s="114" t="s">
        <v>1849</v>
      </c>
      <c r="C1486" s="114">
        <v>3</v>
      </c>
      <c r="D1486" s="116">
        <v>0.0037309864388029128</v>
      </c>
      <c r="E1486" s="116">
        <v>0.9973087784871161</v>
      </c>
      <c r="F1486" s="114" t="s">
        <v>1711</v>
      </c>
      <c r="G1486" s="114" t="b">
        <v>0</v>
      </c>
      <c r="H1486" s="114" t="b">
        <v>0</v>
      </c>
      <c r="I1486" s="114" t="b">
        <v>0</v>
      </c>
      <c r="J1486" s="114" t="b">
        <v>0</v>
      </c>
      <c r="K1486" s="114" t="b">
        <v>0</v>
      </c>
      <c r="L1486" s="114" t="b">
        <v>0</v>
      </c>
    </row>
    <row r="1487" spans="1:12" ht="15">
      <c r="A1487" s="114" t="s">
        <v>1739</v>
      </c>
      <c r="B1487" s="114" t="s">
        <v>1811</v>
      </c>
      <c r="C1487" s="114">
        <v>3</v>
      </c>
      <c r="D1487" s="116">
        <v>0.0031320365780693033</v>
      </c>
      <c r="E1487" s="116">
        <v>0.6846969102733197</v>
      </c>
      <c r="F1487" s="114" t="s">
        <v>1711</v>
      </c>
      <c r="G1487" s="114" t="b">
        <v>0</v>
      </c>
      <c r="H1487" s="114" t="b">
        <v>0</v>
      </c>
      <c r="I1487" s="114" t="b">
        <v>0</v>
      </c>
      <c r="J1487" s="114" t="b">
        <v>0</v>
      </c>
      <c r="K1487" s="114" t="b">
        <v>0</v>
      </c>
      <c r="L1487" s="114" t="b">
        <v>0</v>
      </c>
    </row>
    <row r="1488" spans="1:12" ht="15">
      <c r="A1488" s="114" t="s">
        <v>1839</v>
      </c>
      <c r="B1488" s="114" t="s">
        <v>1920</v>
      </c>
      <c r="C1488" s="114">
        <v>3</v>
      </c>
      <c r="D1488" s="116">
        <v>0.0047548979886804</v>
      </c>
      <c r="E1488" s="116">
        <v>1.6324572921847242</v>
      </c>
      <c r="F1488" s="114" t="s">
        <v>1711</v>
      </c>
      <c r="G1488" s="114" t="b">
        <v>0</v>
      </c>
      <c r="H1488" s="114" t="b">
        <v>0</v>
      </c>
      <c r="I1488" s="114" t="b">
        <v>0</v>
      </c>
      <c r="J1488" s="114" t="b">
        <v>0</v>
      </c>
      <c r="K1488" s="114" t="b">
        <v>0</v>
      </c>
      <c r="L1488" s="114" t="b">
        <v>0</v>
      </c>
    </row>
    <row r="1489" spans="1:12" ht="15">
      <c r="A1489" s="114" t="s">
        <v>1920</v>
      </c>
      <c r="B1489" s="114" t="s">
        <v>1765</v>
      </c>
      <c r="C1489" s="114">
        <v>3</v>
      </c>
      <c r="D1489" s="116">
        <v>0.0047548979886804</v>
      </c>
      <c r="E1489" s="116">
        <v>1.8665404982180922</v>
      </c>
      <c r="F1489" s="114" t="s">
        <v>1711</v>
      </c>
      <c r="G1489" s="114" t="b">
        <v>0</v>
      </c>
      <c r="H1489" s="114" t="b">
        <v>0</v>
      </c>
      <c r="I1489" s="114" t="b">
        <v>0</v>
      </c>
      <c r="J1489" s="114" t="b">
        <v>0</v>
      </c>
      <c r="K1489" s="114" t="b">
        <v>0</v>
      </c>
      <c r="L1489" s="114" t="b">
        <v>0</v>
      </c>
    </row>
    <row r="1490" spans="1:12" ht="15">
      <c r="A1490" s="114" t="s">
        <v>1739</v>
      </c>
      <c r="B1490" s="114" t="s">
        <v>1936</v>
      </c>
      <c r="C1490" s="114">
        <v>3</v>
      </c>
      <c r="D1490" s="116">
        <v>0.0047548979886804</v>
      </c>
      <c r="E1490" s="116">
        <v>0.6846969102733197</v>
      </c>
      <c r="F1490" s="114" t="s">
        <v>1711</v>
      </c>
      <c r="G1490" s="114" t="b">
        <v>0</v>
      </c>
      <c r="H1490" s="114" t="b">
        <v>0</v>
      </c>
      <c r="I1490" s="114" t="b">
        <v>0</v>
      </c>
      <c r="J1490" s="114" t="b">
        <v>0</v>
      </c>
      <c r="K1490" s="114" t="b">
        <v>0</v>
      </c>
      <c r="L1490" s="114" t="b">
        <v>0</v>
      </c>
    </row>
    <row r="1491" spans="1:12" ht="15">
      <c r="A1491" s="114" t="s">
        <v>1742</v>
      </c>
      <c r="B1491" s="114" t="s">
        <v>1750</v>
      </c>
      <c r="C1491" s="114">
        <v>3</v>
      </c>
      <c r="D1491" s="116">
        <v>0.0047548979886804</v>
      </c>
      <c r="E1491" s="116">
        <v>0.9696994605031501</v>
      </c>
      <c r="F1491" s="114" t="s">
        <v>1711</v>
      </c>
      <c r="G1491" s="114" t="b">
        <v>0</v>
      </c>
      <c r="H1491" s="114" t="b">
        <v>0</v>
      </c>
      <c r="I1491" s="114" t="b">
        <v>0</v>
      </c>
      <c r="J1491" s="114" t="b">
        <v>0</v>
      </c>
      <c r="K1491" s="114" t="b">
        <v>0</v>
      </c>
      <c r="L1491" s="114" t="b">
        <v>0</v>
      </c>
    </row>
    <row r="1492" spans="1:12" ht="15">
      <c r="A1492" s="114" t="s">
        <v>1744</v>
      </c>
      <c r="B1492" s="114" t="s">
        <v>1739</v>
      </c>
      <c r="C1492" s="114">
        <v>2</v>
      </c>
      <c r="D1492" s="116">
        <v>0.0031699319924536</v>
      </c>
      <c r="E1492" s="116">
        <v>0.2250663877139927</v>
      </c>
      <c r="F1492" s="114" t="s">
        <v>1711</v>
      </c>
      <c r="G1492" s="114" t="b">
        <v>0</v>
      </c>
      <c r="H1492" s="114" t="b">
        <v>0</v>
      </c>
      <c r="I1492" s="114" t="b">
        <v>0</v>
      </c>
      <c r="J1492" s="114" t="b">
        <v>0</v>
      </c>
      <c r="K1492" s="114" t="b">
        <v>0</v>
      </c>
      <c r="L1492" s="114" t="b">
        <v>0</v>
      </c>
    </row>
    <row r="1493" spans="1:12" ht="15">
      <c r="A1493" s="114" t="s">
        <v>1751</v>
      </c>
      <c r="B1493" s="114" t="s">
        <v>1744</v>
      </c>
      <c r="C1493" s="114">
        <v>2</v>
      </c>
      <c r="D1493" s="116">
        <v>0.0024873242925352755</v>
      </c>
      <c r="E1493" s="116">
        <v>1.166331421766525</v>
      </c>
      <c r="F1493" s="114" t="s">
        <v>1711</v>
      </c>
      <c r="G1493" s="114" t="b">
        <v>0</v>
      </c>
      <c r="H1493" s="114" t="b">
        <v>1</v>
      </c>
      <c r="I1493" s="114" t="b">
        <v>0</v>
      </c>
      <c r="J1493" s="114" t="b">
        <v>0</v>
      </c>
      <c r="K1493" s="114" t="b">
        <v>0</v>
      </c>
      <c r="L1493" s="114" t="b">
        <v>0</v>
      </c>
    </row>
    <row r="1494" spans="1:12" ht="15">
      <c r="A1494" s="114" t="s">
        <v>1988</v>
      </c>
      <c r="B1494" s="114" t="s">
        <v>1937</v>
      </c>
      <c r="C1494" s="114">
        <v>2</v>
      </c>
      <c r="D1494" s="116">
        <v>0.0031699319924536</v>
      </c>
      <c r="E1494" s="116">
        <v>1.7873592521704673</v>
      </c>
      <c r="F1494" s="114" t="s">
        <v>1711</v>
      </c>
      <c r="G1494" s="114" t="b">
        <v>0</v>
      </c>
      <c r="H1494" s="114" t="b">
        <v>0</v>
      </c>
      <c r="I1494" s="114" t="b">
        <v>0</v>
      </c>
      <c r="J1494" s="114" t="b">
        <v>0</v>
      </c>
      <c r="K1494" s="114" t="b">
        <v>0</v>
      </c>
      <c r="L1494" s="114" t="b">
        <v>0</v>
      </c>
    </row>
    <row r="1495" spans="1:12" ht="15">
      <c r="A1495" s="114" t="s">
        <v>2140</v>
      </c>
      <c r="B1495" s="114" t="s">
        <v>1914</v>
      </c>
      <c r="C1495" s="114">
        <v>2</v>
      </c>
      <c r="D1495" s="116">
        <v>0.0031699319924536</v>
      </c>
      <c r="E1495" s="116">
        <v>1.9122979887787674</v>
      </c>
      <c r="F1495" s="114" t="s">
        <v>1711</v>
      </c>
      <c r="G1495" s="114" t="b">
        <v>0</v>
      </c>
      <c r="H1495" s="114" t="b">
        <v>0</v>
      </c>
      <c r="I1495" s="114" t="b">
        <v>0</v>
      </c>
      <c r="J1495" s="114" t="b">
        <v>0</v>
      </c>
      <c r="K1495" s="114" t="b">
        <v>0</v>
      </c>
      <c r="L1495" s="114" t="b">
        <v>0</v>
      </c>
    </row>
    <row r="1496" spans="1:12" ht="15">
      <c r="A1496" s="114" t="s">
        <v>1914</v>
      </c>
      <c r="B1496" s="114" t="s">
        <v>1914</v>
      </c>
      <c r="C1496" s="114">
        <v>2</v>
      </c>
      <c r="D1496" s="116">
        <v>0.0031699319924536</v>
      </c>
      <c r="E1496" s="116">
        <v>1.544321203484173</v>
      </c>
      <c r="F1496" s="114" t="s">
        <v>1711</v>
      </c>
      <c r="G1496" s="114" t="b">
        <v>0</v>
      </c>
      <c r="H1496" s="114" t="b">
        <v>0</v>
      </c>
      <c r="I1496" s="114" t="b">
        <v>0</v>
      </c>
      <c r="J1496" s="114" t="b">
        <v>0</v>
      </c>
      <c r="K1496" s="114" t="b">
        <v>0</v>
      </c>
      <c r="L1496" s="114" t="b">
        <v>0</v>
      </c>
    </row>
    <row r="1497" spans="1:12" ht="15">
      <c r="A1497" s="114" t="s">
        <v>1740</v>
      </c>
      <c r="B1497" s="114" t="s">
        <v>1923</v>
      </c>
      <c r="C1497" s="114">
        <v>2</v>
      </c>
      <c r="D1497" s="116">
        <v>0.0024873242925352755</v>
      </c>
      <c r="E1497" s="116">
        <v>1.1931245983544616</v>
      </c>
      <c r="F1497" s="114" t="s">
        <v>1711</v>
      </c>
      <c r="G1497" s="114" t="b">
        <v>0</v>
      </c>
      <c r="H1497" s="114" t="b">
        <v>0</v>
      </c>
      <c r="I1497" s="114" t="b">
        <v>0</v>
      </c>
      <c r="J1497" s="114" t="b">
        <v>0</v>
      </c>
      <c r="K1497" s="114" t="b">
        <v>0</v>
      </c>
      <c r="L1497" s="114" t="b">
        <v>0</v>
      </c>
    </row>
    <row r="1498" spans="1:12" ht="15">
      <c r="A1498" s="114" t="s">
        <v>1923</v>
      </c>
      <c r="B1498" s="114" t="s">
        <v>1830</v>
      </c>
      <c r="C1498" s="114">
        <v>2</v>
      </c>
      <c r="D1498" s="116">
        <v>0.0024873242925352755</v>
      </c>
      <c r="E1498" s="116">
        <v>2.6324572921847245</v>
      </c>
      <c r="F1498" s="114" t="s">
        <v>1711</v>
      </c>
      <c r="G1498" s="114" t="b">
        <v>0</v>
      </c>
      <c r="H1498" s="114" t="b">
        <v>0</v>
      </c>
      <c r="I1498" s="114" t="b">
        <v>0</v>
      </c>
      <c r="J1498" s="114" t="b">
        <v>0</v>
      </c>
      <c r="K1498" s="114" t="b">
        <v>0</v>
      </c>
      <c r="L1498" s="114" t="b">
        <v>0</v>
      </c>
    </row>
    <row r="1499" spans="1:12" ht="15">
      <c r="A1499" s="114" t="s">
        <v>1792</v>
      </c>
      <c r="B1499" s="114" t="s">
        <v>1776</v>
      </c>
      <c r="C1499" s="114">
        <v>2</v>
      </c>
      <c r="D1499" s="116">
        <v>0.0024873242925352755</v>
      </c>
      <c r="E1499" s="116">
        <v>1.7573960287930241</v>
      </c>
      <c r="F1499" s="114" t="s">
        <v>1711</v>
      </c>
      <c r="G1499" s="114" t="b">
        <v>0</v>
      </c>
      <c r="H1499" s="114" t="b">
        <v>0</v>
      </c>
      <c r="I1499" s="114" t="b">
        <v>0</v>
      </c>
      <c r="J1499" s="114" t="b">
        <v>0</v>
      </c>
      <c r="K1499" s="114" t="b">
        <v>0</v>
      </c>
      <c r="L1499" s="114" t="b">
        <v>0</v>
      </c>
    </row>
    <row r="1500" spans="1:12" ht="15">
      <c r="A1500" s="114" t="s">
        <v>1750</v>
      </c>
      <c r="B1500" s="114" t="s">
        <v>1740</v>
      </c>
      <c r="C1500" s="114">
        <v>2</v>
      </c>
      <c r="D1500" s="116">
        <v>0.0024873242925352755</v>
      </c>
      <c r="E1500" s="116">
        <v>0.46884872875367256</v>
      </c>
      <c r="F1500" s="114" t="s">
        <v>1711</v>
      </c>
      <c r="G1500" s="114" t="b">
        <v>0</v>
      </c>
      <c r="H1500" s="114" t="b">
        <v>0</v>
      </c>
      <c r="I1500" s="114" t="b">
        <v>0</v>
      </c>
      <c r="J1500" s="114" t="b">
        <v>0</v>
      </c>
      <c r="K1500" s="114" t="b">
        <v>0</v>
      </c>
      <c r="L1500" s="114" t="b">
        <v>0</v>
      </c>
    </row>
    <row r="1501" spans="1:12" ht="15">
      <c r="A1501" s="114" t="s">
        <v>1747</v>
      </c>
      <c r="B1501" s="114" t="s">
        <v>2033</v>
      </c>
      <c r="C1501" s="114">
        <v>2</v>
      </c>
      <c r="D1501" s="116">
        <v>0.0024873242925352755</v>
      </c>
      <c r="E1501" s="116">
        <v>1.8195439355418686</v>
      </c>
      <c r="F1501" s="114" t="s">
        <v>1711</v>
      </c>
      <c r="G1501" s="114" t="b">
        <v>0</v>
      </c>
      <c r="H1501" s="114" t="b">
        <v>0</v>
      </c>
      <c r="I1501" s="114" t="b">
        <v>0</v>
      </c>
      <c r="J1501" s="114" t="b">
        <v>0</v>
      </c>
      <c r="K1501" s="114" t="b">
        <v>0</v>
      </c>
      <c r="L1501" s="114" t="b">
        <v>0</v>
      </c>
    </row>
    <row r="1502" spans="1:12" ht="15">
      <c r="A1502" s="114" t="s">
        <v>1745</v>
      </c>
      <c r="B1502" s="114" t="s">
        <v>1879</v>
      </c>
      <c r="C1502" s="114">
        <v>2</v>
      </c>
      <c r="D1502" s="116">
        <v>0.0024873242925352755</v>
      </c>
      <c r="E1502" s="116">
        <v>1.6324572921847242</v>
      </c>
      <c r="F1502" s="114" t="s">
        <v>1711</v>
      </c>
      <c r="G1502" s="114" t="b">
        <v>0</v>
      </c>
      <c r="H1502" s="114" t="b">
        <v>0</v>
      </c>
      <c r="I1502" s="114" t="b">
        <v>0</v>
      </c>
      <c r="J1502" s="114" t="b">
        <v>0</v>
      </c>
      <c r="K1502" s="114" t="b">
        <v>0</v>
      </c>
      <c r="L1502" s="114" t="b">
        <v>0</v>
      </c>
    </row>
    <row r="1503" spans="1:12" ht="15">
      <c r="A1503" s="114" t="s">
        <v>1839</v>
      </c>
      <c r="B1503" s="114" t="s">
        <v>1839</v>
      </c>
      <c r="C1503" s="114">
        <v>2</v>
      </c>
      <c r="D1503" s="116">
        <v>0.0024873242925352755</v>
      </c>
      <c r="E1503" s="116">
        <v>1.076154791417437</v>
      </c>
      <c r="F1503" s="114" t="s">
        <v>1711</v>
      </c>
      <c r="G1503" s="114" t="b">
        <v>0</v>
      </c>
      <c r="H1503" s="114" t="b">
        <v>0</v>
      </c>
      <c r="I1503" s="114" t="b">
        <v>0</v>
      </c>
      <c r="J1503" s="114" t="b">
        <v>0</v>
      </c>
      <c r="K1503" s="114" t="b">
        <v>0</v>
      </c>
      <c r="L1503" s="114" t="b">
        <v>0</v>
      </c>
    </row>
    <row r="1504" spans="1:12" ht="15">
      <c r="A1504" s="114" t="s">
        <v>1839</v>
      </c>
      <c r="B1504" s="114" t="s">
        <v>2350</v>
      </c>
      <c r="C1504" s="114">
        <v>2</v>
      </c>
      <c r="D1504" s="116">
        <v>0.0024873242925352755</v>
      </c>
      <c r="E1504" s="116">
        <v>1.8543060418010806</v>
      </c>
      <c r="F1504" s="114" t="s">
        <v>1711</v>
      </c>
      <c r="G1504" s="114" t="b">
        <v>0</v>
      </c>
      <c r="H1504" s="114" t="b">
        <v>0</v>
      </c>
      <c r="I1504" s="114" t="b">
        <v>0</v>
      </c>
      <c r="J1504" s="114" t="b">
        <v>0</v>
      </c>
      <c r="K1504" s="114" t="b">
        <v>0</v>
      </c>
      <c r="L1504" s="114" t="b">
        <v>0</v>
      </c>
    </row>
    <row r="1505" spans="1:12" ht="15">
      <c r="A1505" s="114" t="s">
        <v>2351</v>
      </c>
      <c r="B1505" s="114" t="s">
        <v>2352</v>
      </c>
      <c r="C1505" s="114">
        <v>2</v>
      </c>
      <c r="D1505" s="116">
        <v>0.0024873242925352755</v>
      </c>
      <c r="E1505" s="116">
        <v>2.6324572921847245</v>
      </c>
      <c r="F1505" s="114" t="s">
        <v>1711</v>
      </c>
      <c r="G1505" s="114" t="b">
        <v>0</v>
      </c>
      <c r="H1505" s="114" t="b">
        <v>0</v>
      </c>
      <c r="I1505" s="114" t="b">
        <v>0</v>
      </c>
      <c r="J1505" s="114" t="b">
        <v>0</v>
      </c>
      <c r="K1505" s="114" t="b">
        <v>0</v>
      </c>
      <c r="L1505" s="114" t="b">
        <v>0</v>
      </c>
    </row>
    <row r="1506" spans="1:12" ht="15">
      <c r="A1506" s="114" t="s">
        <v>2352</v>
      </c>
      <c r="B1506" s="114" t="s">
        <v>1827</v>
      </c>
      <c r="C1506" s="114">
        <v>2</v>
      </c>
      <c r="D1506" s="116">
        <v>0.0024873242925352755</v>
      </c>
      <c r="E1506" s="116">
        <v>2.155336037465062</v>
      </c>
      <c r="F1506" s="114" t="s">
        <v>1711</v>
      </c>
      <c r="G1506" s="114" t="b">
        <v>0</v>
      </c>
      <c r="H1506" s="114" t="b">
        <v>0</v>
      </c>
      <c r="I1506" s="114" t="b">
        <v>0</v>
      </c>
      <c r="J1506" s="114" t="b">
        <v>0</v>
      </c>
      <c r="K1506" s="114" t="b">
        <v>0</v>
      </c>
      <c r="L1506" s="114" t="b">
        <v>0</v>
      </c>
    </row>
    <row r="1507" spans="1:12" ht="15">
      <c r="A1507" s="114" t="s">
        <v>1827</v>
      </c>
      <c r="B1507" s="114" t="s">
        <v>1827</v>
      </c>
      <c r="C1507" s="114">
        <v>2</v>
      </c>
      <c r="D1507" s="116">
        <v>0.0024873242925352755</v>
      </c>
      <c r="E1507" s="116">
        <v>1.6782147827453995</v>
      </c>
      <c r="F1507" s="114" t="s">
        <v>1711</v>
      </c>
      <c r="G1507" s="114" t="b">
        <v>0</v>
      </c>
      <c r="H1507" s="114" t="b">
        <v>0</v>
      </c>
      <c r="I1507" s="114" t="b">
        <v>0</v>
      </c>
      <c r="J1507" s="114" t="b">
        <v>0</v>
      </c>
      <c r="K1507" s="114" t="b">
        <v>0</v>
      </c>
      <c r="L1507" s="114" t="b">
        <v>0</v>
      </c>
    </row>
    <row r="1508" spans="1:12" ht="15">
      <c r="A1508" s="114" t="s">
        <v>1827</v>
      </c>
      <c r="B1508" s="114" t="s">
        <v>1740</v>
      </c>
      <c r="C1508" s="114">
        <v>2</v>
      </c>
      <c r="D1508" s="116">
        <v>0.0024873242925352755</v>
      </c>
      <c r="E1508" s="116">
        <v>0.732090163528254</v>
      </c>
      <c r="F1508" s="114" t="s">
        <v>1711</v>
      </c>
      <c r="G1508" s="114" t="b">
        <v>0</v>
      </c>
      <c r="H1508" s="114" t="b">
        <v>0</v>
      </c>
      <c r="I1508" s="114" t="b">
        <v>0</v>
      </c>
      <c r="J1508" s="114" t="b">
        <v>0</v>
      </c>
      <c r="K1508" s="114" t="b">
        <v>0</v>
      </c>
      <c r="L1508" s="114" t="b">
        <v>0</v>
      </c>
    </row>
    <row r="1509" spans="1:12" ht="15">
      <c r="A1509" s="114" t="s">
        <v>2064</v>
      </c>
      <c r="B1509" s="114" t="s">
        <v>1740</v>
      </c>
      <c r="C1509" s="114">
        <v>2</v>
      </c>
      <c r="D1509" s="116">
        <v>0.0024873242925352755</v>
      </c>
      <c r="E1509" s="116">
        <v>1.2092114182479166</v>
      </c>
      <c r="F1509" s="114" t="s">
        <v>1711</v>
      </c>
      <c r="G1509" s="114" t="b">
        <v>0</v>
      </c>
      <c r="H1509" s="114" t="b">
        <v>0</v>
      </c>
      <c r="I1509" s="114" t="b">
        <v>0</v>
      </c>
      <c r="J1509" s="114" t="b">
        <v>0</v>
      </c>
      <c r="K1509" s="114" t="b">
        <v>0</v>
      </c>
      <c r="L1509" s="114" t="b">
        <v>0</v>
      </c>
    </row>
    <row r="1510" spans="1:12" ht="15">
      <c r="A1510" s="114" t="s">
        <v>1888</v>
      </c>
      <c r="B1510" s="114" t="s">
        <v>1753</v>
      </c>
      <c r="C1510" s="114">
        <v>2</v>
      </c>
      <c r="D1510" s="116">
        <v>0.0024873242925352755</v>
      </c>
      <c r="E1510" s="116">
        <v>1.8543060418010806</v>
      </c>
      <c r="F1510" s="114" t="s">
        <v>1711</v>
      </c>
      <c r="G1510" s="114" t="b">
        <v>0</v>
      </c>
      <c r="H1510" s="114" t="b">
        <v>0</v>
      </c>
      <c r="I1510" s="114" t="b">
        <v>0</v>
      </c>
      <c r="J1510" s="114" t="b">
        <v>0</v>
      </c>
      <c r="K1510" s="114" t="b">
        <v>0</v>
      </c>
      <c r="L1510" s="114" t="b">
        <v>0</v>
      </c>
    </row>
    <row r="1511" spans="1:12" ht="15">
      <c r="A1511" s="114" t="s">
        <v>2188</v>
      </c>
      <c r="B1511" s="114" t="s">
        <v>1800</v>
      </c>
      <c r="C1511" s="114">
        <v>2</v>
      </c>
      <c r="D1511" s="116">
        <v>0.0024873242925352755</v>
      </c>
      <c r="E1511" s="116">
        <v>2.456366033129043</v>
      </c>
      <c r="F1511" s="114" t="s">
        <v>1711</v>
      </c>
      <c r="G1511" s="114" t="b">
        <v>0</v>
      </c>
      <c r="H1511" s="114" t="b">
        <v>0</v>
      </c>
      <c r="I1511" s="114" t="b">
        <v>0</v>
      </c>
      <c r="J1511" s="114" t="b">
        <v>0</v>
      </c>
      <c r="K1511" s="114" t="b">
        <v>0</v>
      </c>
      <c r="L1511" s="114" t="b">
        <v>0</v>
      </c>
    </row>
    <row r="1512" spans="1:12" ht="15">
      <c r="A1512" s="114" t="s">
        <v>1800</v>
      </c>
      <c r="B1512" s="114" t="s">
        <v>1919</v>
      </c>
      <c r="C1512" s="114">
        <v>2</v>
      </c>
      <c r="D1512" s="116">
        <v>0.0024873242925352755</v>
      </c>
      <c r="E1512" s="116">
        <v>2.2802747740733618</v>
      </c>
      <c r="F1512" s="114" t="s">
        <v>1711</v>
      </c>
      <c r="G1512" s="114" t="b">
        <v>0</v>
      </c>
      <c r="H1512" s="114" t="b">
        <v>0</v>
      </c>
      <c r="I1512" s="114" t="b">
        <v>0</v>
      </c>
      <c r="J1512" s="114" t="b">
        <v>0</v>
      </c>
      <c r="K1512" s="114" t="b">
        <v>0</v>
      </c>
      <c r="L1512" s="114" t="b">
        <v>0</v>
      </c>
    </row>
    <row r="1513" spans="1:12" ht="15">
      <c r="A1513" s="114" t="s">
        <v>1919</v>
      </c>
      <c r="B1513" s="114" t="s">
        <v>1784</v>
      </c>
      <c r="C1513" s="114">
        <v>2</v>
      </c>
      <c r="D1513" s="116">
        <v>0.0024873242925352755</v>
      </c>
      <c r="E1513" s="116">
        <v>2.155336037465062</v>
      </c>
      <c r="F1513" s="114" t="s">
        <v>1711</v>
      </c>
      <c r="G1513" s="114" t="b">
        <v>0</v>
      </c>
      <c r="H1513" s="114" t="b">
        <v>0</v>
      </c>
      <c r="I1513" s="114" t="b">
        <v>0</v>
      </c>
      <c r="J1513" s="114" t="b">
        <v>0</v>
      </c>
      <c r="K1513" s="114" t="b">
        <v>0</v>
      </c>
      <c r="L1513" s="114" t="b">
        <v>0</v>
      </c>
    </row>
    <row r="1514" spans="1:12" ht="15">
      <c r="A1514" s="114" t="s">
        <v>1784</v>
      </c>
      <c r="B1514" s="114" t="s">
        <v>1771</v>
      </c>
      <c r="C1514" s="114">
        <v>2</v>
      </c>
      <c r="D1514" s="116">
        <v>0.0024873242925352755</v>
      </c>
      <c r="E1514" s="116">
        <v>2.155336037465062</v>
      </c>
      <c r="F1514" s="114" t="s">
        <v>1711</v>
      </c>
      <c r="G1514" s="114" t="b">
        <v>0</v>
      </c>
      <c r="H1514" s="114" t="b">
        <v>0</v>
      </c>
      <c r="I1514" s="114" t="b">
        <v>0</v>
      </c>
      <c r="J1514" s="114" t="b">
        <v>0</v>
      </c>
      <c r="K1514" s="114" t="b">
        <v>1</v>
      </c>
      <c r="L1514" s="114" t="b">
        <v>0</v>
      </c>
    </row>
    <row r="1515" spans="1:12" ht="15">
      <c r="A1515" s="114" t="s">
        <v>1771</v>
      </c>
      <c r="B1515" s="114" t="s">
        <v>1780</v>
      </c>
      <c r="C1515" s="114">
        <v>2</v>
      </c>
      <c r="D1515" s="116">
        <v>0.0024873242925352755</v>
      </c>
      <c r="E1515" s="116">
        <v>2.155336037465062</v>
      </c>
      <c r="F1515" s="114" t="s">
        <v>1711</v>
      </c>
      <c r="G1515" s="114" t="b">
        <v>0</v>
      </c>
      <c r="H1515" s="114" t="b">
        <v>1</v>
      </c>
      <c r="I1515" s="114" t="b">
        <v>0</v>
      </c>
      <c r="J1515" s="114" t="b">
        <v>0</v>
      </c>
      <c r="K1515" s="114" t="b">
        <v>0</v>
      </c>
      <c r="L1515" s="114" t="b">
        <v>0</v>
      </c>
    </row>
    <row r="1516" spans="1:12" ht="15">
      <c r="A1516" s="114" t="s">
        <v>1781</v>
      </c>
      <c r="B1516" s="114" t="s">
        <v>1746</v>
      </c>
      <c r="C1516" s="114">
        <v>2</v>
      </c>
      <c r="D1516" s="116">
        <v>0.0024873242925352755</v>
      </c>
      <c r="E1516" s="116">
        <v>1.5532760461370994</v>
      </c>
      <c r="F1516" s="114" t="s">
        <v>1711</v>
      </c>
      <c r="G1516" s="114" t="b">
        <v>0</v>
      </c>
      <c r="H1516" s="114" t="b">
        <v>0</v>
      </c>
      <c r="I1516" s="114" t="b">
        <v>0</v>
      </c>
      <c r="J1516" s="114" t="b">
        <v>0</v>
      </c>
      <c r="K1516" s="114" t="b">
        <v>1</v>
      </c>
      <c r="L1516" s="114" t="b">
        <v>0</v>
      </c>
    </row>
    <row r="1517" spans="1:12" ht="15">
      <c r="A1517" s="114" t="s">
        <v>1746</v>
      </c>
      <c r="B1517" s="114" t="s">
        <v>1939</v>
      </c>
      <c r="C1517" s="114">
        <v>2</v>
      </c>
      <c r="D1517" s="116">
        <v>0.0024873242925352755</v>
      </c>
      <c r="E1517" s="116">
        <v>1.8543060418010806</v>
      </c>
      <c r="F1517" s="114" t="s">
        <v>1711</v>
      </c>
      <c r="G1517" s="114" t="b">
        <v>0</v>
      </c>
      <c r="H1517" s="114" t="b">
        <v>1</v>
      </c>
      <c r="I1517" s="114" t="b">
        <v>0</v>
      </c>
      <c r="J1517" s="114" t="b">
        <v>1</v>
      </c>
      <c r="K1517" s="114" t="b">
        <v>0</v>
      </c>
      <c r="L1517" s="114" t="b">
        <v>0</v>
      </c>
    </row>
    <row r="1518" spans="1:12" ht="15">
      <c r="A1518" s="114" t="s">
        <v>1804</v>
      </c>
      <c r="B1518" s="114" t="s">
        <v>1741</v>
      </c>
      <c r="C1518" s="114">
        <v>2</v>
      </c>
      <c r="D1518" s="116">
        <v>0.0024873242925352755</v>
      </c>
      <c r="E1518" s="116">
        <v>0.6979588409411566</v>
      </c>
      <c r="F1518" s="114" t="s">
        <v>1711</v>
      </c>
      <c r="G1518" s="114" t="b">
        <v>0</v>
      </c>
      <c r="H1518" s="114" t="b">
        <v>0</v>
      </c>
      <c r="I1518" s="114" t="b">
        <v>0</v>
      </c>
      <c r="J1518" s="114" t="b">
        <v>0</v>
      </c>
      <c r="K1518" s="114" t="b">
        <v>0</v>
      </c>
      <c r="L1518" s="114" t="b">
        <v>0</v>
      </c>
    </row>
    <row r="1519" spans="1:12" ht="15">
      <c r="A1519" s="114" t="s">
        <v>1743</v>
      </c>
      <c r="B1519" s="114" t="s">
        <v>1740</v>
      </c>
      <c r="C1519" s="114">
        <v>2</v>
      </c>
      <c r="D1519" s="116">
        <v>0.0024873242925352755</v>
      </c>
      <c r="E1519" s="116">
        <v>-0.057960310155097415</v>
      </c>
      <c r="F1519" s="114" t="s">
        <v>1711</v>
      </c>
      <c r="G1519" s="114" t="b">
        <v>0</v>
      </c>
      <c r="H1519" s="114" t="b">
        <v>0</v>
      </c>
      <c r="I1519" s="114" t="b">
        <v>0</v>
      </c>
      <c r="J1519" s="114" t="b">
        <v>0</v>
      </c>
      <c r="K1519" s="114" t="b">
        <v>0</v>
      </c>
      <c r="L1519" s="114" t="b">
        <v>0</v>
      </c>
    </row>
    <row r="1520" spans="1:12" ht="15">
      <c r="A1520" s="114" t="s">
        <v>1743</v>
      </c>
      <c r="B1520" s="114" t="s">
        <v>1850</v>
      </c>
      <c r="C1520" s="114">
        <v>2</v>
      </c>
      <c r="D1520" s="116">
        <v>0.0024873242925352755</v>
      </c>
      <c r="E1520" s="116">
        <v>1.1891943047260292</v>
      </c>
      <c r="F1520" s="114" t="s">
        <v>1711</v>
      </c>
      <c r="G1520" s="114" t="b">
        <v>0</v>
      </c>
      <c r="H1520" s="114" t="b">
        <v>0</v>
      </c>
      <c r="I1520" s="114" t="b">
        <v>0</v>
      </c>
      <c r="J1520" s="114" t="b">
        <v>0</v>
      </c>
      <c r="K1520" s="114" t="b">
        <v>0</v>
      </c>
      <c r="L1520" s="114" t="b">
        <v>0</v>
      </c>
    </row>
    <row r="1521" spans="1:12" ht="15">
      <c r="A1521" s="114" t="s">
        <v>1850</v>
      </c>
      <c r="B1521" s="114" t="s">
        <v>1741</v>
      </c>
      <c r="C1521" s="114">
        <v>2</v>
      </c>
      <c r="D1521" s="116">
        <v>0.0024873242925352755</v>
      </c>
      <c r="E1521" s="116">
        <v>1.1239275732134377</v>
      </c>
      <c r="F1521" s="114" t="s">
        <v>1711</v>
      </c>
      <c r="G1521" s="114" t="b">
        <v>0</v>
      </c>
      <c r="H1521" s="114" t="b">
        <v>0</v>
      </c>
      <c r="I1521" s="114" t="b">
        <v>0</v>
      </c>
      <c r="J1521" s="114" t="b">
        <v>0</v>
      </c>
      <c r="K1521" s="114" t="b">
        <v>0</v>
      </c>
      <c r="L1521" s="114" t="b">
        <v>0</v>
      </c>
    </row>
    <row r="1522" spans="1:12" ht="15">
      <c r="A1522" s="114" t="s">
        <v>1743</v>
      </c>
      <c r="B1522" s="114" t="s">
        <v>1751</v>
      </c>
      <c r="C1522" s="114">
        <v>2</v>
      </c>
      <c r="D1522" s="116">
        <v>0.0024873242925352755</v>
      </c>
      <c r="E1522" s="116">
        <v>0.7120730500063668</v>
      </c>
      <c r="F1522" s="114" t="s">
        <v>1711</v>
      </c>
      <c r="G1522" s="114" t="b">
        <v>0</v>
      </c>
      <c r="H1522" s="114" t="b">
        <v>0</v>
      </c>
      <c r="I1522" s="114" t="b">
        <v>0</v>
      </c>
      <c r="J1522" s="114" t="b">
        <v>0</v>
      </c>
      <c r="K1522" s="114" t="b">
        <v>1</v>
      </c>
      <c r="L1522" s="114" t="b">
        <v>0</v>
      </c>
    </row>
    <row r="1523" spans="1:12" ht="15">
      <c r="A1523" s="114" t="s">
        <v>1922</v>
      </c>
      <c r="B1523" s="114" t="s">
        <v>1808</v>
      </c>
      <c r="C1523" s="114">
        <v>2</v>
      </c>
      <c r="D1523" s="116">
        <v>0.0024873242925352755</v>
      </c>
      <c r="E1523" s="116">
        <v>2.456366033129043</v>
      </c>
      <c r="F1523" s="114" t="s">
        <v>1711</v>
      </c>
      <c r="G1523" s="114" t="b">
        <v>0</v>
      </c>
      <c r="H1523" s="114" t="b">
        <v>0</v>
      </c>
      <c r="I1523" s="114" t="b">
        <v>0</v>
      </c>
      <c r="J1523" s="114" t="b">
        <v>0</v>
      </c>
      <c r="K1523" s="114" t="b">
        <v>0</v>
      </c>
      <c r="L1523" s="114" t="b">
        <v>0</v>
      </c>
    </row>
    <row r="1524" spans="1:12" ht="15">
      <c r="A1524" s="114" t="s">
        <v>1808</v>
      </c>
      <c r="B1524" s="114" t="s">
        <v>1740</v>
      </c>
      <c r="C1524" s="114">
        <v>2</v>
      </c>
      <c r="D1524" s="116">
        <v>0.0024873242925352755</v>
      </c>
      <c r="E1524" s="116">
        <v>1.0331201591922352</v>
      </c>
      <c r="F1524" s="114" t="s">
        <v>1711</v>
      </c>
      <c r="G1524" s="114" t="b">
        <v>0</v>
      </c>
      <c r="H1524" s="114" t="b">
        <v>0</v>
      </c>
      <c r="I1524" s="114" t="b">
        <v>0</v>
      </c>
      <c r="J1524" s="114" t="b">
        <v>0</v>
      </c>
      <c r="K1524" s="114" t="b">
        <v>0</v>
      </c>
      <c r="L1524" s="114" t="b">
        <v>0</v>
      </c>
    </row>
    <row r="1525" spans="1:12" ht="15">
      <c r="A1525" s="114" t="s">
        <v>1740</v>
      </c>
      <c r="B1525" s="114" t="s">
        <v>1900</v>
      </c>
      <c r="C1525" s="114">
        <v>2</v>
      </c>
      <c r="D1525" s="116">
        <v>0.0024873242925352755</v>
      </c>
      <c r="E1525" s="116">
        <v>1.1931245983544616</v>
      </c>
      <c r="F1525" s="114" t="s">
        <v>1711</v>
      </c>
      <c r="G1525" s="114" t="b">
        <v>0</v>
      </c>
      <c r="H1525" s="114" t="b">
        <v>0</v>
      </c>
      <c r="I1525" s="114" t="b">
        <v>0</v>
      </c>
      <c r="J1525" s="114" t="b">
        <v>0</v>
      </c>
      <c r="K1525" s="114" t="b">
        <v>0</v>
      </c>
      <c r="L1525" s="114" t="b">
        <v>0</v>
      </c>
    </row>
    <row r="1526" spans="1:12" ht="15">
      <c r="A1526" s="114" t="s">
        <v>1900</v>
      </c>
      <c r="B1526" s="114" t="s">
        <v>1766</v>
      </c>
      <c r="C1526" s="114">
        <v>2</v>
      </c>
      <c r="D1526" s="116">
        <v>0.0024873242925352755</v>
      </c>
      <c r="E1526" s="116">
        <v>2.331427296520743</v>
      </c>
      <c r="F1526" s="114" t="s">
        <v>1711</v>
      </c>
      <c r="G1526" s="114" t="b">
        <v>0</v>
      </c>
      <c r="H1526" s="114" t="b">
        <v>0</v>
      </c>
      <c r="I1526" s="114" t="b">
        <v>0</v>
      </c>
      <c r="J1526" s="114" t="b">
        <v>0</v>
      </c>
      <c r="K1526" s="114" t="b">
        <v>1</v>
      </c>
      <c r="L1526" s="114" t="b">
        <v>0</v>
      </c>
    </row>
    <row r="1527" spans="1:12" ht="15">
      <c r="A1527" s="114" t="s">
        <v>1740</v>
      </c>
      <c r="B1527" s="114" t="s">
        <v>1809</v>
      </c>
      <c r="C1527" s="114">
        <v>2</v>
      </c>
      <c r="D1527" s="116">
        <v>0.0024873242925352755</v>
      </c>
      <c r="E1527" s="116">
        <v>0.8920946026904805</v>
      </c>
      <c r="F1527" s="114" t="s">
        <v>1711</v>
      </c>
      <c r="G1527" s="114" t="b">
        <v>0</v>
      </c>
      <c r="H1527" s="114" t="b">
        <v>0</v>
      </c>
      <c r="I1527" s="114" t="b">
        <v>0</v>
      </c>
      <c r="J1527" s="114" t="b">
        <v>0</v>
      </c>
      <c r="K1527" s="114" t="b">
        <v>0</v>
      </c>
      <c r="L1527" s="114" t="b">
        <v>0</v>
      </c>
    </row>
    <row r="1528" spans="1:12" ht="15">
      <c r="A1528" s="114" t="s">
        <v>1809</v>
      </c>
      <c r="B1528" s="114" t="s">
        <v>1809</v>
      </c>
      <c r="C1528" s="114">
        <v>2</v>
      </c>
      <c r="D1528" s="116">
        <v>0.0024873242925352755</v>
      </c>
      <c r="E1528" s="116">
        <v>2.030397300856762</v>
      </c>
      <c r="F1528" s="114" t="s">
        <v>1711</v>
      </c>
      <c r="G1528" s="114" t="b">
        <v>0</v>
      </c>
      <c r="H1528" s="114" t="b">
        <v>0</v>
      </c>
      <c r="I1528" s="114" t="b">
        <v>0</v>
      </c>
      <c r="J1528" s="114" t="b">
        <v>0</v>
      </c>
      <c r="K1528" s="114" t="b">
        <v>0</v>
      </c>
      <c r="L1528" s="114" t="b">
        <v>0</v>
      </c>
    </row>
    <row r="1529" spans="1:12" ht="15">
      <c r="A1529" s="114" t="s">
        <v>1809</v>
      </c>
      <c r="B1529" s="114" t="s">
        <v>1740</v>
      </c>
      <c r="C1529" s="114">
        <v>2</v>
      </c>
      <c r="D1529" s="116">
        <v>0.0024873242925352755</v>
      </c>
      <c r="E1529" s="116">
        <v>0.9081814225839353</v>
      </c>
      <c r="F1529" s="114" t="s">
        <v>1711</v>
      </c>
      <c r="G1529" s="114" t="b">
        <v>0</v>
      </c>
      <c r="H1529" s="114" t="b">
        <v>0</v>
      </c>
      <c r="I1529" s="114" t="b">
        <v>0</v>
      </c>
      <c r="J1529" s="114" t="b">
        <v>0</v>
      </c>
      <c r="K1529" s="114" t="b">
        <v>0</v>
      </c>
      <c r="L1529" s="114" t="b">
        <v>0</v>
      </c>
    </row>
    <row r="1530" spans="1:12" ht="15">
      <c r="A1530" s="114" t="s">
        <v>1887</v>
      </c>
      <c r="B1530" s="114" t="s">
        <v>1740</v>
      </c>
      <c r="C1530" s="114">
        <v>2</v>
      </c>
      <c r="D1530" s="116">
        <v>0.0024873242925352755</v>
      </c>
      <c r="E1530" s="116">
        <v>1.2092114182479166</v>
      </c>
      <c r="F1530" s="114" t="s">
        <v>1711</v>
      </c>
      <c r="G1530" s="114" t="b">
        <v>0</v>
      </c>
      <c r="H1530" s="114" t="b">
        <v>0</v>
      </c>
      <c r="I1530" s="114" t="b">
        <v>0</v>
      </c>
      <c r="J1530" s="114" t="b">
        <v>0</v>
      </c>
      <c r="K1530" s="114" t="b">
        <v>0</v>
      </c>
      <c r="L1530" s="114" t="b">
        <v>0</v>
      </c>
    </row>
    <row r="1531" spans="1:12" ht="15">
      <c r="A1531" s="114" t="s">
        <v>1740</v>
      </c>
      <c r="B1531" s="114" t="s">
        <v>1757</v>
      </c>
      <c r="C1531" s="114">
        <v>2</v>
      </c>
      <c r="D1531" s="116">
        <v>0.0024873242925352755</v>
      </c>
      <c r="E1531" s="116">
        <v>0.8920946026904805</v>
      </c>
      <c r="F1531" s="114" t="s">
        <v>1711</v>
      </c>
      <c r="G1531" s="114" t="b">
        <v>0</v>
      </c>
      <c r="H1531" s="114" t="b">
        <v>0</v>
      </c>
      <c r="I1531" s="114" t="b">
        <v>0</v>
      </c>
      <c r="J1531" s="114" t="b">
        <v>0</v>
      </c>
      <c r="K1531" s="114" t="b">
        <v>0</v>
      </c>
      <c r="L1531" s="114" t="b">
        <v>0</v>
      </c>
    </row>
    <row r="1532" spans="1:12" ht="15">
      <c r="A1532" s="114" t="s">
        <v>1740</v>
      </c>
      <c r="B1532" s="114" t="s">
        <v>1864</v>
      </c>
      <c r="C1532" s="114">
        <v>2</v>
      </c>
      <c r="D1532" s="116">
        <v>0.0024873242925352755</v>
      </c>
      <c r="E1532" s="116">
        <v>1.0170333392987803</v>
      </c>
      <c r="F1532" s="114" t="s">
        <v>1711</v>
      </c>
      <c r="G1532" s="114" t="b">
        <v>0</v>
      </c>
      <c r="H1532" s="114" t="b">
        <v>0</v>
      </c>
      <c r="I1532" s="114" t="b">
        <v>0</v>
      </c>
      <c r="J1532" s="114" t="b">
        <v>0</v>
      </c>
      <c r="K1532" s="114" t="b">
        <v>0</v>
      </c>
      <c r="L1532" s="114" t="b">
        <v>0</v>
      </c>
    </row>
    <row r="1533" spans="1:12" ht="15">
      <c r="A1533" s="114" t="s">
        <v>1776</v>
      </c>
      <c r="B1533" s="114" t="s">
        <v>1897</v>
      </c>
      <c r="C1533" s="114">
        <v>2</v>
      </c>
      <c r="D1533" s="116">
        <v>0.0024873242925352755</v>
      </c>
      <c r="E1533" s="116">
        <v>2.155336037465062</v>
      </c>
      <c r="F1533" s="114" t="s">
        <v>1711</v>
      </c>
      <c r="G1533" s="114" t="b">
        <v>0</v>
      </c>
      <c r="H1533" s="114" t="b">
        <v>0</v>
      </c>
      <c r="I1533" s="114" t="b">
        <v>0</v>
      </c>
      <c r="J1533" s="114" t="b">
        <v>0</v>
      </c>
      <c r="K1533" s="114" t="b">
        <v>0</v>
      </c>
      <c r="L1533" s="114" t="b">
        <v>0</v>
      </c>
    </row>
    <row r="1534" spans="1:12" ht="15">
      <c r="A1534" s="114" t="s">
        <v>1789</v>
      </c>
      <c r="B1534" s="114" t="s">
        <v>1764</v>
      </c>
      <c r="C1534" s="114">
        <v>2</v>
      </c>
      <c r="D1534" s="116">
        <v>0.0031699319924536</v>
      </c>
      <c r="E1534" s="116">
        <v>1.4863292565064863</v>
      </c>
      <c r="F1534" s="114" t="s">
        <v>1711</v>
      </c>
      <c r="G1534" s="114" t="b">
        <v>0</v>
      </c>
      <c r="H1534" s="114" t="b">
        <v>0</v>
      </c>
      <c r="I1534" s="114" t="b">
        <v>0</v>
      </c>
      <c r="J1534" s="114" t="b">
        <v>0</v>
      </c>
      <c r="K1534" s="114" t="b">
        <v>0</v>
      </c>
      <c r="L1534" s="114" t="b">
        <v>0</v>
      </c>
    </row>
    <row r="1535" spans="1:12" ht="15">
      <c r="A1535" s="114" t="s">
        <v>2007</v>
      </c>
      <c r="B1535" s="114" t="s">
        <v>2192</v>
      </c>
      <c r="C1535" s="114">
        <v>2</v>
      </c>
      <c r="D1535" s="116">
        <v>0.0024873242925352755</v>
      </c>
      <c r="E1535" s="116">
        <v>2.2802747740733618</v>
      </c>
      <c r="F1535" s="114" t="s">
        <v>1711</v>
      </c>
      <c r="G1535" s="114" t="b">
        <v>0</v>
      </c>
      <c r="H1535" s="114" t="b">
        <v>1</v>
      </c>
      <c r="I1535" s="114" t="b">
        <v>0</v>
      </c>
      <c r="J1535" s="114" t="b">
        <v>0</v>
      </c>
      <c r="K1535" s="114" t="b">
        <v>1</v>
      </c>
      <c r="L1535" s="114" t="b">
        <v>0</v>
      </c>
    </row>
    <row r="1536" spans="1:12" ht="15">
      <c r="A1536" s="114" t="s">
        <v>1764</v>
      </c>
      <c r="B1536" s="114" t="s">
        <v>1785</v>
      </c>
      <c r="C1536" s="114">
        <v>2</v>
      </c>
      <c r="D1536" s="116">
        <v>0.0031699319924536</v>
      </c>
      <c r="E1536" s="116">
        <v>1.4863292565064863</v>
      </c>
      <c r="F1536" s="114" t="s">
        <v>1711</v>
      </c>
      <c r="G1536" s="114" t="b">
        <v>0</v>
      </c>
      <c r="H1536" s="114" t="b">
        <v>0</v>
      </c>
      <c r="I1536" s="114" t="b">
        <v>0</v>
      </c>
      <c r="J1536" s="114" t="b">
        <v>0</v>
      </c>
      <c r="K1536" s="114" t="b">
        <v>0</v>
      </c>
      <c r="L1536" s="114" t="b">
        <v>0</v>
      </c>
    </row>
    <row r="1537" spans="1:12" ht="15">
      <c r="A1537" s="114" t="s">
        <v>1859</v>
      </c>
      <c r="B1537" s="114" t="s">
        <v>1853</v>
      </c>
      <c r="C1537" s="114">
        <v>2</v>
      </c>
      <c r="D1537" s="116">
        <v>0.0031699319924536</v>
      </c>
      <c r="E1537" s="116">
        <v>1.8543060418010806</v>
      </c>
      <c r="F1537" s="114" t="s">
        <v>1711</v>
      </c>
      <c r="G1537" s="114" t="b">
        <v>0</v>
      </c>
      <c r="H1537" s="114" t="b">
        <v>0</v>
      </c>
      <c r="I1537" s="114" t="b">
        <v>0</v>
      </c>
      <c r="J1537" s="114" t="b">
        <v>0</v>
      </c>
      <c r="K1537" s="114" t="b">
        <v>0</v>
      </c>
      <c r="L1537" s="114" t="b">
        <v>0</v>
      </c>
    </row>
    <row r="1538" spans="1:12" ht="15">
      <c r="A1538" s="114" t="s">
        <v>1913</v>
      </c>
      <c r="B1538" s="114" t="s">
        <v>1747</v>
      </c>
      <c r="C1538" s="114">
        <v>2</v>
      </c>
      <c r="D1538" s="116">
        <v>0.0024873242925352755</v>
      </c>
      <c r="E1538" s="116">
        <v>1.591064607026499</v>
      </c>
      <c r="F1538" s="114" t="s">
        <v>1711</v>
      </c>
      <c r="G1538" s="114" t="b">
        <v>0</v>
      </c>
      <c r="H1538" s="114" t="b">
        <v>0</v>
      </c>
      <c r="I1538" s="114" t="b">
        <v>0</v>
      </c>
      <c r="J1538" s="114" t="b">
        <v>0</v>
      </c>
      <c r="K1538" s="114" t="b">
        <v>0</v>
      </c>
      <c r="L1538" s="114" t="b">
        <v>0</v>
      </c>
    </row>
    <row r="1539" spans="1:12" ht="15">
      <c r="A1539" s="114" t="s">
        <v>1759</v>
      </c>
      <c r="B1539" s="114" t="s">
        <v>1740</v>
      </c>
      <c r="C1539" s="114">
        <v>2</v>
      </c>
      <c r="D1539" s="116">
        <v>0.0031699319924536</v>
      </c>
      <c r="E1539" s="116">
        <v>0.9081814225839353</v>
      </c>
      <c r="F1539" s="114" t="s">
        <v>1711</v>
      </c>
      <c r="G1539" s="114" t="b">
        <v>0</v>
      </c>
      <c r="H1539" s="114" t="b">
        <v>0</v>
      </c>
      <c r="I1539" s="114" t="b">
        <v>0</v>
      </c>
      <c r="J1539" s="114" t="b">
        <v>0</v>
      </c>
      <c r="K1539" s="114" t="b">
        <v>0</v>
      </c>
      <c r="L1539" s="114" t="b">
        <v>0</v>
      </c>
    </row>
    <row r="1540" spans="1:12" ht="15">
      <c r="A1540" s="114" t="s">
        <v>1748</v>
      </c>
      <c r="B1540" s="114" t="s">
        <v>1741</v>
      </c>
      <c r="C1540" s="114">
        <v>2</v>
      </c>
      <c r="D1540" s="116">
        <v>0.0024873242925352755</v>
      </c>
      <c r="E1540" s="116">
        <v>0.4249575688774188</v>
      </c>
      <c r="F1540" s="114" t="s">
        <v>1711</v>
      </c>
      <c r="G1540" s="114" t="b">
        <v>0</v>
      </c>
      <c r="H1540" s="114" t="b">
        <v>0</v>
      </c>
      <c r="I1540" s="114" t="b">
        <v>0</v>
      </c>
      <c r="J1540" s="114" t="b">
        <v>0</v>
      </c>
      <c r="K1540" s="114" t="b">
        <v>0</v>
      </c>
      <c r="L1540" s="114" t="b">
        <v>0</v>
      </c>
    </row>
    <row r="1541" spans="1:12" ht="15">
      <c r="A1541" s="114" t="s">
        <v>1743</v>
      </c>
      <c r="B1541" s="114" t="s">
        <v>1744</v>
      </c>
      <c r="C1541" s="114">
        <v>2</v>
      </c>
      <c r="D1541" s="116">
        <v>0.0024873242925352755</v>
      </c>
      <c r="E1541" s="116">
        <v>0.5523722071388549</v>
      </c>
      <c r="F1541" s="114" t="s">
        <v>1711</v>
      </c>
      <c r="G1541" s="114" t="b">
        <v>0</v>
      </c>
      <c r="H1541" s="114" t="b">
        <v>0</v>
      </c>
      <c r="I1541" s="114" t="b">
        <v>0</v>
      </c>
      <c r="J1541" s="114" t="b">
        <v>0</v>
      </c>
      <c r="K1541" s="114" t="b">
        <v>0</v>
      </c>
      <c r="L1541" s="114" t="b">
        <v>0</v>
      </c>
    </row>
    <row r="1542" spans="1:12" ht="15">
      <c r="A1542" s="114" t="s">
        <v>1746</v>
      </c>
      <c r="B1542" s="114" t="s">
        <v>1750</v>
      </c>
      <c r="C1542" s="114">
        <v>2</v>
      </c>
      <c r="D1542" s="116">
        <v>0.0024873242925352755</v>
      </c>
      <c r="E1542" s="116">
        <v>1.076154791417437</v>
      </c>
      <c r="F1542" s="114" t="s">
        <v>1711</v>
      </c>
      <c r="G1542" s="114" t="b">
        <v>0</v>
      </c>
      <c r="H1542" s="114" t="b">
        <v>1</v>
      </c>
      <c r="I1542" s="114" t="b">
        <v>0</v>
      </c>
      <c r="J1542" s="114" t="b">
        <v>0</v>
      </c>
      <c r="K1542" s="114" t="b">
        <v>0</v>
      </c>
      <c r="L1542" s="114" t="b">
        <v>0</v>
      </c>
    </row>
    <row r="1543" spans="1:12" ht="15">
      <c r="A1543" s="114" t="s">
        <v>1750</v>
      </c>
      <c r="B1543" s="114" t="s">
        <v>1741</v>
      </c>
      <c r="C1543" s="114">
        <v>2</v>
      </c>
      <c r="D1543" s="116">
        <v>0.0024873242925352755</v>
      </c>
      <c r="E1543" s="116">
        <v>0.5596561427748751</v>
      </c>
      <c r="F1543" s="114" t="s">
        <v>1711</v>
      </c>
      <c r="G1543" s="114" t="b">
        <v>0</v>
      </c>
      <c r="H1543" s="114" t="b">
        <v>0</v>
      </c>
      <c r="I1543" s="114" t="b">
        <v>0</v>
      </c>
      <c r="J1543" s="114" t="b">
        <v>0</v>
      </c>
      <c r="K1543" s="114" t="b">
        <v>0</v>
      </c>
      <c r="L1543" s="114" t="b">
        <v>0</v>
      </c>
    </row>
    <row r="1544" spans="1:12" ht="15">
      <c r="A1544" s="114" t="s">
        <v>1811</v>
      </c>
      <c r="B1544" s="114" t="s">
        <v>1741</v>
      </c>
      <c r="C1544" s="114">
        <v>2</v>
      </c>
      <c r="D1544" s="116">
        <v>0.0024873242925352755</v>
      </c>
      <c r="E1544" s="116">
        <v>0.8228975775494565</v>
      </c>
      <c r="F1544" s="114" t="s">
        <v>1711</v>
      </c>
      <c r="G1544" s="114" t="b">
        <v>0</v>
      </c>
      <c r="H1544" s="114" t="b">
        <v>0</v>
      </c>
      <c r="I1544" s="114" t="b">
        <v>0</v>
      </c>
      <c r="J1544" s="114" t="b">
        <v>0</v>
      </c>
      <c r="K1544" s="114" t="b">
        <v>0</v>
      </c>
      <c r="L1544" s="114" t="b">
        <v>0</v>
      </c>
    </row>
    <row r="1545" spans="1:12" ht="15">
      <c r="A1545" s="114" t="s">
        <v>1743</v>
      </c>
      <c r="B1545" s="114" t="s">
        <v>1811</v>
      </c>
      <c r="C1545" s="114">
        <v>2</v>
      </c>
      <c r="D1545" s="116">
        <v>0.0024873242925352755</v>
      </c>
      <c r="E1545" s="116">
        <v>0.8212175194314348</v>
      </c>
      <c r="F1545" s="114" t="s">
        <v>1711</v>
      </c>
      <c r="G1545" s="114" t="b">
        <v>0</v>
      </c>
      <c r="H1545" s="114" t="b">
        <v>0</v>
      </c>
      <c r="I1545" s="114" t="b">
        <v>0</v>
      </c>
      <c r="J1545" s="114" t="b">
        <v>0</v>
      </c>
      <c r="K1545" s="114" t="b">
        <v>0</v>
      </c>
      <c r="L1545" s="114" t="b">
        <v>0</v>
      </c>
    </row>
    <row r="1546" spans="1:12" ht="15">
      <c r="A1546" s="114" t="s">
        <v>1811</v>
      </c>
      <c r="B1546" s="114" t="s">
        <v>1739</v>
      </c>
      <c r="C1546" s="114">
        <v>2</v>
      </c>
      <c r="D1546" s="116">
        <v>0.0024873242925352755</v>
      </c>
      <c r="E1546" s="116">
        <v>0.5930431730085871</v>
      </c>
      <c r="F1546" s="114" t="s">
        <v>1711</v>
      </c>
      <c r="G1546" s="114" t="b">
        <v>0</v>
      </c>
      <c r="H1546" s="114" t="b">
        <v>0</v>
      </c>
      <c r="I1546" s="114" t="b">
        <v>0</v>
      </c>
      <c r="J1546" s="114" t="b">
        <v>0</v>
      </c>
      <c r="K1546" s="114" t="b">
        <v>0</v>
      </c>
      <c r="L1546" s="114" t="b">
        <v>0</v>
      </c>
    </row>
    <row r="1547" spans="1:12" ht="15">
      <c r="A1547" s="114" t="s">
        <v>1748</v>
      </c>
      <c r="B1547" s="114" t="s">
        <v>1750</v>
      </c>
      <c r="C1547" s="114">
        <v>2</v>
      </c>
      <c r="D1547" s="116">
        <v>0.0024873242925352755</v>
      </c>
      <c r="E1547" s="116">
        <v>0.9792447784093805</v>
      </c>
      <c r="F1547" s="114" t="s">
        <v>1711</v>
      </c>
      <c r="G1547" s="114" t="b">
        <v>0</v>
      </c>
      <c r="H1547" s="114" t="b">
        <v>0</v>
      </c>
      <c r="I1547" s="114" t="b">
        <v>0</v>
      </c>
      <c r="J1547" s="114" t="b">
        <v>0</v>
      </c>
      <c r="K1547" s="114" t="b">
        <v>0</v>
      </c>
      <c r="L1547" s="114" t="b">
        <v>0</v>
      </c>
    </row>
    <row r="1548" spans="1:12" ht="15">
      <c r="A1548" s="114" t="s">
        <v>1880</v>
      </c>
      <c r="B1548" s="114" t="s">
        <v>2187</v>
      </c>
      <c r="C1548" s="114">
        <v>2</v>
      </c>
      <c r="D1548" s="116">
        <v>0.0031699319924536</v>
      </c>
      <c r="E1548" s="116">
        <v>2.2802747740733618</v>
      </c>
      <c r="F1548" s="114" t="s">
        <v>1711</v>
      </c>
      <c r="G1548" s="114" t="b">
        <v>0</v>
      </c>
      <c r="H1548" s="114" t="b">
        <v>0</v>
      </c>
      <c r="I1548" s="114" t="b">
        <v>0</v>
      </c>
      <c r="J1548" s="114" t="b">
        <v>0</v>
      </c>
      <c r="K1548" s="114" t="b">
        <v>0</v>
      </c>
      <c r="L1548" s="114" t="b">
        <v>0</v>
      </c>
    </row>
    <row r="1549" spans="1:12" ht="15">
      <c r="A1549" s="114" t="s">
        <v>1934</v>
      </c>
      <c r="B1549" s="114" t="s">
        <v>1742</v>
      </c>
      <c r="C1549" s="114">
        <v>2</v>
      </c>
      <c r="D1549" s="116">
        <v>0.0024873242925352755</v>
      </c>
      <c r="E1549" s="116">
        <v>1.3771847870814182</v>
      </c>
      <c r="F1549" s="114" t="s">
        <v>1711</v>
      </c>
      <c r="G1549" s="114" t="b">
        <v>0</v>
      </c>
      <c r="H1549" s="114" t="b">
        <v>0</v>
      </c>
      <c r="I1549" s="114" t="b">
        <v>0</v>
      </c>
      <c r="J1549" s="114" t="b">
        <v>0</v>
      </c>
      <c r="K1549" s="114" t="b">
        <v>0</v>
      </c>
      <c r="L1549" s="114" t="b">
        <v>0</v>
      </c>
    </row>
    <row r="1550" spans="1:12" ht="15">
      <c r="A1550" s="114" t="s">
        <v>1936</v>
      </c>
      <c r="B1550" s="114" t="s">
        <v>1739</v>
      </c>
      <c r="C1550" s="114">
        <v>2</v>
      </c>
      <c r="D1550" s="116">
        <v>0.0031699319924536</v>
      </c>
      <c r="E1550" s="116">
        <v>0.5260963833779739</v>
      </c>
      <c r="F1550" s="114" t="s">
        <v>1711</v>
      </c>
      <c r="G1550" s="114" t="b">
        <v>0</v>
      </c>
      <c r="H1550" s="114" t="b">
        <v>0</v>
      </c>
      <c r="I1550" s="114" t="b">
        <v>0</v>
      </c>
      <c r="J1550" s="114" t="b">
        <v>0</v>
      </c>
      <c r="K1550" s="114" t="b">
        <v>0</v>
      </c>
      <c r="L1550" s="114" t="b">
        <v>0</v>
      </c>
    </row>
    <row r="1551" spans="1:12" ht="15">
      <c r="A1551" s="114" t="s">
        <v>1743</v>
      </c>
      <c r="B1551" s="114" t="s">
        <v>1936</v>
      </c>
      <c r="C1551" s="114">
        <v>2</v>
      </c>
      <c r="D1551" s="116">
        <v>0.0031699319924536</v>
      </c>
      <c r="E1551" s="116">
        <v>0.8212175194314348</v>
      </c>
      <c r="F1551" s="114" t="s">
        <v>1711</v>
      </c>
      <c r="G1551" s="114" t="b">
        <v>0</v>
      </c>
      <c r="H1551" s="114" t="b">
        <v>0</v>
      </c>
      <c r="I1551" s="114" t="b">
        <v>0</v>
      </c>
      <c r="J1551" s="114" t="b">
        <v>0</v>
      </c>
      <c r="K1551" s="114" t="b">
        <v>0</v>
      </c>
      <c r="L1551" s="114" t="b">
        <v>0</v>
      </c>
    </row>
    <row r="1552" spans="1:12" ht="15">
      <c r="A1552" s="114" t="s">
        <v>1783</v>
      </c>
      <c r="B1552" s="114" t="s">
        <v>1739</v>
      </c>
      <c r="C1552" s="114">
        <v>2</v>
      </c>
      <c r="D1552" s="116">
        <v>0.0031699319924536</v>
      </c>
      <c r="E1552" s="116">
        <v>0.8940731686725683</v>
      </c>
      <c r="F1552" s="114" t="s">
        <v>1711</v>
      </c>
      <c r="G1552" s="114" t="b">
        <v>0</v>
      </c>
      <c r="H1552" s="114" t="b">
        <v>0</v>
      </c>
      <c r="I1552" s="114" t="b">
        <v>0</v>
      </c>
      <c r="J1552" s="114" t="b">
        <v>0</v>
      </c>
      <c r="K1552" s="114" t="b">
        <v>0</v>
      </c>
      <c r="L1552" s="114" t="b">
        <v>0</v>
      </c>
    </row>
    <row r="1553" spans="1:12" ht="15">
      <c r="A1553" s="114" t="s">
        <v>2127</v>
      </c>
      <c r="B1553" s="114" t="s">
        <v>1742</v>
      </c>
      <c r="C1553" s="114">
        <v>2</v>
      </c>
      <c r="D1553" s="116">
        <v>0.0031699319924536</v>
      </c>
      <c r="E1553" s="116">
        <v>1.5532760461370994</v>
      </c>
      <c r="F1553" s="114" t="s">
        <v>1711</v>
      </c>
      <c r="G1553" s="114" t="b">
        <v>0</v>
      </c>
      <c r="H1553" s="114" t="b">
        <v>0</v>
      </c>
      <c r="I1553" s="114" t="b">
        <v>0</v>
      </c>
      <c r="J1553" s="114" t="b">
        <v>0</v>
      </c>
      <c r="K1553" s="114" t="b">
        <v>0</v>
      </c>
      <c r="L1553" s="114" t="b">
        <v>0</v>
      </c>
    </row>
    <row r="1554" spans="1:12" ht="15">
      <c r="A1554" s="114" t="s">
        <v>1768</v>
      </c>
      <c r="B1554" s="114" t="s">
        <v>1813</v>
      </c>
      <c r="C1554" s="114">
        <v>13</v>
      </c>
      <c r="D1554" s="116">
        <v>0.00350660103502111</v>
      </c>
      <c r="E1554" s="116">
        <v>1.3251636753807006</v>
      </c>
      <c r="F1554" s="114" t="s">
        <v>1712</v>
      </c>
      <c r="G1554" s="114" t="b">
        <v>0</v>
      </c>
      <c r="H1554" s="114" t="b">
        <v>0</v>
      </c>
      <c r="I1554" s="114" t="b">
        <v>0</v>
      </c>
      <c r="J1554" s="114" t="b">
        <v>0</v>
      </c>
      <c r="K1554" s="114" t="b">
        <v>0</v>
      </c>
      <c r="L1554" s="114" t="b">
        <v>0</v>
      </c>
    </row>
    <row r="1555" spans="1:12" ht="15">
      <c r="A1555" s="114" t="s">
        <v>1813</v>
      </c>
      <c r="B1555" s="114" t="s">
        <v>1768</v>
      </c>
      <c r="C1555" s="114">
        <v>13</v>
      </c>
      <c r="D1555" s="116">
        <v>0.00350660103502111</v>
      </c>
      <c r="E1555" s="116">
        <v>1.3421970146794808</v>
      </c>
      <c r="F1555" s="114" t="s">
        <v>1712</v>
      </c>
      <c r="G1555" s="114" t="b">
        <v>0</v>
      </c>
      <c r="H1555" s="114" t="b">
        <v>0</v>
      </c>
      <c r="I1555" s="114" t="b">
        <v>0</v>
      </c>
      <c r="J1555" s="114" t="b">
        <v>0</v>
      </c>
      <c r="K1555" s="114" t="b">
        <v>0</v>
      </c>
      <c r="L1555" s="114" t="b">
        <v>0</v>
      </c>
    </row>
    <row r="1556" spans="1:12" ht="15">
      <c r="A1556" s="114" t="s">
        <v>1769</v>
      </c>
      <c r="B1556" s="114" t="s">
        <v>1833</v>
      </c>
      <c r="C1556" s="114">
        <v>13</v>
      </c>
      <c r="D1556" s="116">
        <v>0.00350660103502111</v>
      </c>
      <c r="E1556" s="116">
        <v>1.3743816980508823</v>
      </c>
      <c r="F1556" s="114" t="s">
        <v>1712</v>
      </c>
      <c r="G1556" s="114" t="b">
        <v>0</v>
      </c>
      <c r="H1556" s="114" t="b">
        <v>0</v>
      </c>
      <c r="I1556" s="114" t="b">
        <v>0</v>
      </c>
      <c r="J1556" s="114" t="b">
        <v>0</v>
      </c>
      <c r="K1556" s="114" t="b">
        <v>0</v>
      </c>
      <c r="L1556" s="114" t="b">
        <v>0</v>
      </c>
    </row>
    <row r="1557" spans="1:12" ht="15">
      <c r="A1557" s="114" t="s">
        <v>1768</v>
      </c>
      <c r="B1557" s="114" t="s">
        <v>1769</v>
      </c>
      <c r="C1557" s="114">
        <v>12</v>
      </c>
      <c r="D1557" s="116">
        <v>0.003919587985044925</v>
      </c>
      <c r="E1557" s="116">
        <v>1.0215562568289087</v>
      </c>
      <c r="F1557" s="114" t="s">
        <v>1712</v>
      </c>
      <c r="G1557" s="114" t="b">
        <v>0</v>
      </c>
      <c r="H1557" s="114" t="b">
        <v>0</v>
      </c>
      <c r="I1557" s="114" t="b">
        <v>0</v>
      </c>
      <c r="J1557" s="114" t="b">
        <v>0</v>
      </c>
      <c r="K1557" s="114" t="b">
        <v>0</v>
      </c>
      <c r="L1557" s="114" t="b">
        <v>0</v>
      </c>
    </row>
    <row r="1558" spans="1:12" ht="15">
      <c r="A1558" s="114" t="s">
        <v>1769</v>
      </c>
      <c r="B1558" s="114" t="s">
        <v>1769</v>
      </c>
      <c r="C1558" s="114">
        <v>12</v>
      </c>
      <c r="D1558" s="116">
        <v>0.003919587985044925</v>
      </c>
      <c r="E1558" s="116">
        <v>1.038589596127689</v>
      </c>
      <c r="F1558" s="114" t="s">
        <v>1712</v>
      </c>
      <c r="G1558" s="114" t="b">
        <v>0</v>
      </c>
      <c r="H1558" s="114" t="b">
        <v>0</v>
      </c>
      <c r="I1558" s="114" t="b">
        <v>0</v>
      </c>
      <c r="J1558" s="114" t="b">
        <v>0</v>
      </c>
      <c r="K1558" s="114" t="b">
        <v>0</v>
      </c>
      <c r="L1558" s="114" t="b">
        <v>0</v>
      </c>
    </row>
    <row r="1559" spans="1:12" ht="15">
      <c r="A1559" s="114" t="s">
        <v>1832</v>
      </c>
      <c r="B1559" s="114" t="s">
        <v>1772</v>
      </c>
      <c r="C1559" s="114">
        <v>12</v>
      </c>
      <c r="D1559" s="116">
        <v>0.003919587985044925</v>
      </c>
      <c r="E1559" s="116">
        <v>1.3921104650113136</v>
      </c>
      <c r="F1559" s="114" t="s">
        <v>1712</v>
      </c>
      <c r="G1559" s="114" t="b">
        <v>0</v>
      </c>
      <c r="H1559" s="114" t="b">
        <v>0</v>
      </c>
      <c r="I1559" s="114" t="b">
        <v>0</v>
      </c>
      <c r="J1559" s="114" t="b">
        <v>0</v>
      </c>
      <c r="K1559" s="114" t="b">
        <v>0</v>
      </c>
      <c r="L1559" s="114" t="b">
        <v>0</v>
      </c>
    </row>
    <row r="1560" spans="1:12" ht="15">
      <c r="A1560" s="114" t="s">
        <v>1763</v>
      </c>
      <c r="B1560" s="114" t="s">
        <v>1786</v>
      </c>
      <c r="C1560" s="114">
        <v>11</v>
      </c>
      <c r="D1560" s="116">
        <v>0.004273273443110709</v>
      </c>
      <c r="E1560" s="116">
        <v>1.1297672611296328</v>
      </c>
      <c r="F1560" s="114" t="s">
        <v>1712</v>
      </c>
      <c r="G1560" s="114" t="b">
        <v>0</v>
      </c>
      <c r="H1560" s="114" t="b">
        <v>0</v>
      </c>
      <c r="I1560" s="114" t="b">
        <v>0</v>
      </c>
      <c r="J1560" s="114" t="b">
        <v>0</v>
      </c>
      <c r="K1560" s="114" t="b">
        <v>0</v>
      </c>
      <c r="L1560" s="114" t="b">
        <v>0</v>
      </c>
    </row>
    <row r="1561" spans="1:12" ht="15">
      <c r="A1561" s="114" t="s">
        <v>1752</v>
      </c>
      <c r="B1561" s="114" t="s">
        <v>1754</v>
      </c>
      <c r="C1561" s="114">
        <v>11</v>
      </c>
      <c r="D1561" s="116">
        <v>0.004273273443110709</v>
      </c>
      <c r="E1561" s="116">
        <v>0.7202927067189098</v>
      </c>
      <c r="F1561" s="114" t="s">
        <v>1712</v>
      </c>
      <c r="G1561" s="114" t="b">
        <v>0</v>
      </c>
      <c r="H1561" s="114" t="b">
        <v>0</v>
      </c>
      <c r="I1561" s="114" t="b">
        <v>0</v>
      </c>
      <c r="J1561" s="114" t="b">
        <v>0</v>
      </c>
      <c r="K1561" s="114" t="b">
        <v>0</v>
      </c>
      <c r="L1561" s="114" t="b">
        <v>0</v>
      </c>
    </row>
    <row r="1562" spans="1:12" ht="15">
      <c r="A1562" s="114" t="s">
        <v>1861</v>
      </c>
      <c r="B1562" s="114" t="s">
        <v>1754</v>
      </c>
      <c r="C1562" s="114">
        <v>10</v>
      </c>
      <c r="D1562" s="116">
        <v>0.004562252061421096</v>
      </c>
      <c r="E1562" s="116">
        <v>1.1288690302367324</v>
      </c>
      <c r="F1562" s="114" t="s">
        <v>1712</v>
      </c>
      <c r="G1562" s="114" t="b">
        <v>0</v>
      </c>
      <c r="H1562" s="114" t="b">
        <v>0</v>
      </c>
      <c r="I1562" s="114" t="b">
        <v>0</v>
      </c>
      <c r="J1562" s="114" t="b">
        <v>0</v>
      </c>
      <c r="K1562" s="114" t="b">
        <v>0</v>
      </c>
      <c r="L1562" s="114" t="b">
        <v>0</v>
      </c>
    </row>
    <row r="1563" spans="1:12" ht="15">
      <c r="A1563" s="114" t="s">
        <v>1754</v>
      </c>
      <c r="B1563" s="114" t="s">
        <v>1768</v>
      </c>
      <c r="C1563" s="114">
        <v>10</v>
      </c>
      <c r="D1563" s="116">
        <v>0.004562252061421096</v>
      </c>
      <c r="E1563" s="116">
        <v>0.783317091024383</v>
      </c>
      <c r="F1563" s="114" t="s">
        <v>1712</v>
      </c>
      <c r="G1563" s="114" t="b">
        <v>0</v>
      </c>
      <c r="H1563" s="114" t="b">
        <v>0</v>
      </c>
      <c r="I1563" s="114" t="b">
        <v>0</v>
      </c>
      <c r="J1563" s="114" t="b">
        <v>0</v>
      </c>
      <c r="K1563" s="114" t="b">
        <v>0</v>
      </c>
      <c r="L1563" s="114" t="b">
        <v>0</v>
      </c>
    </row>
    <row r="1564" spans="1:12" ht="15">
      <c r="A1564" s="114" t="s">
        <v>1763</v>
      </c>
      <c r="B1564" s="114" t="s">
        <v>1885</v>
      </c>
      <c r="C1564" s="114">
        <v>10</v>
      </c>
      <c r="D1564" s="116">
        <v>0.004562252061421096</v>
      </c>
      <c r="E1564" s="116">
        <v>1.410593870705327</v>
      </c>
      <c r="F1564" s="114" t="s">
        <v>1712</v>
      </c>
      <c r="G1564" s="114" t="b">
        <v>0</v>
      </c>
      <c r="H1564" s="114" t="b">
        <v>0</v>
      </c>
      <c r="I1564" s="114" t="b">
        <v>0</v>
      </c>
      <c r="J1564" s="114" t="b">
        <v>0</v>
      </c>
      <c r="K1564" s="114" t="b">
        <v>0</v>
      </c>
      <c r="L1564" s="114" t="b">
        <v>0</v>
      </c>
    </row>
    <row r="1565" spans="1:12" ht="15">
      <c r="A1565" s="114" t="s">
        <v>1885</v>
      </c>
      <c r="B1565" s="114" t="s">
        <v>1754</v>
      </c>
      <c r="C1565" s="114">
        <v>10</v>
      </c>
      <c r="D1565" s="116">
        <v>0.004562252061421096</v>
      </c>
      <c r="E1565" s="116">
        <v>1.1702617153949573</v>
      </c>
      <c r="F1565" s="114" t="s">
        <v>1712</v>
      </c>
      <c r="G1565" s="114" t="b">
        <v>0</v>
      </c>
      <c r="H1565" s="114" t="b">
        <v>0</v>
      </c>
      <c r="I1565" s="114" t="b">
        <v>0</v>
      </c>
      <c r="J1565" s="114" t="b">
        <v>0</v>
      </c>
      <c r="K1565" s="114" t="b">
        <v>0</v>
      </c>
      <c r="L1565" s="114" t="b">
        <v>0</v>
      </c>
    </row>
    <row r="1566" spans="1:12" ht="15">
      <c r="A1566" s="114" t="s">
        <v>1754</v>
      </c>
      <c r="B1566" s="114" t="s">
        <v>1763</v>
      </c>
      <c r="C1566" s="114">
        <v>10</v>
      </c>
      <c r="D1566" s="116">
        <v>0.004562252061421096</v>
      </c>
      <c r="E1566" s="116">
        <v>0.8195292636788277</v>
      </c>
      <c r="F1566" s="114" t="s">
        <v>1712</v>
      </c>
      <c r="G1566" s="114" t="b">
        <v>0</v>
      </c>
      <c r="H1566" s="114" t="b">
        <v>0</v>
      </c>
      <c r="I1566" s="114" t="b">
        <v>0</v>
      </c>
      <c r="J1566" s="114" t="b">
        <v>0</v>
      </c>
      <c r="K1566" s="114" t="b">
        <v>0</v>
      </c>
      <c r="L1566" s="114" t="b">
        <v>0</v>
      </c>
    </row>
    <row r="1567" spans="1:12" ht="15">
      <c r="A1567" s="114" t="s">
        <v>1786</v>
      </c>
      <c r="B1567" s="114" t="s">
        <v>1752</v>
      </c>
      <c r="C1567" s="114">
        <v>10</v>
      </c>
      <c r="D1567" s="116">
        <v>0.004562252061421096</v>
      </c>
      <c r="E1567" s="116">
        <v>0.9587407181547278</v>
      </c>
      <c r="F1567" s="114" t="s">
        <v>1712</v>
      </c>
      <c r="G1567" s="114" t="b">
        <v>0</v>
      </c>
      <c r="H1567" s="114" t="b">
        <v>0</v>
      </c>
      <c r="I1567" s="114" t="b">
        <v>0</v>
      </c>
      <c r="J1567" s="114" t="b">
        <v>0</v>
      </c>
      <c r="K1567" s="114" t="b">
        <v>0</v>
      </c>
      <c r="L1567" s="114" t="b">
        <v>0</v>
      </c>
    </row>
    <row r="1568" spans="1:12" ht="15">
      <c r="A1568" s="114" t="s">
        <v>1786</v>
      </c>
      <c r="B1568" s="114" t="s">
        <v>1832</v>
      </c>
      <c r="C1568" s="114">
        <v>10</v>
      </c>
      <c r="D1568" s="116">
        <v>0.004562252061421096</v>
      </c>
      <c r="E1568" s="116">
        <v>1.3709211659413758</v>
      </c>
      <c r="F1568" s="114" t="s">
        <v>1712</v>
      </c>
      <c r="G1568" s="114" t="b">
        <v>0</v>
      </c>
      <c r="H1568" s="114" t="b">
        <v>0</v>
      </c>
      <c r="I1568" s="114" t="b">
        <v>0</v>
      </c>
      <c r="J1568" s="114" t="b">
        <v>0</v>
      </c>
      <c r="K1568" s="114" t="b">
        <v>0</v>
      </c>
      <c r="L1568" s="114" t="b">
        <v>0</v>
      </c>
    </row>
    <row r="1569" spans="1:12" ht="15">
      <c r="A1569" s="114" t="s">
        <v>1754</v>
      </c>
      <c r="B1569" s="114" t="s">
        <v>1752</v>
      </c>
      <c r="C1569" s="114">
        <v>9</v>
      </c>
      <c r="D1569" s="116">
        <v>0.004780032444552434</v>
      </c>
      <c r="E1569" s="116">
        <v>0.6441379153014728</v>
      </c>
      <c r="F1569" s="114" t="s">
        <v>1712</v>
      </c>
      <c r="G1569" s="114" t="b">
        <v>0</v>
      </c>
      <c r="H1569" s="114" t="b">
        <v>0</v>
      </c>
      <c r="I1569" s="114" t="b">
        <v>0</v>
      </c>
      <c r="J1569" s="114" t="b">
        <v>0</v>
      </c>
      <c r="K1569" s="114" t="b">
        <v>0</v>
      </c>
      <c r="L1569" s="114" t="b">
        <v>0</v>
      </c>
    </row>
    <row r="1570" spans="1:12" ht="15">
      <c r="A1570" s="114" t="s">
        <v>1752</v>
      </c>
      <c r="B1570" s="114" t="s">
        <v>1905</v>
      </c>
      <c r="C1570" s="114">
        <v>9</v>
      </c>
      <c r="D1570" s="116">
        <v>0.004780032444552434</v>
      </c>
      <c r="E1570" s="116">
        <v>1.2809600128886471</v>
      </c>
      <c r="F1570" s="114" t="s">
        <v>1712</v>
      </c>
      <c r="G1570" s="114" t="b">
        <v>0</v>
      </c>
      <c r="H1570" s="114" t="b">
        <v>0</v>
      </c>
      <c r="I1570" s="114" t="b">
        <v>0</v>
      </c>
      <c r="J1570" s="114" t="b">
        <v>0</v>
      </c>
      <c r="K1570" s="114" t="b">
        <v>0</v>
      </c>
      <c r="L1570" s="114" t="b">
        <v>0</v>
      </c>
    </row>
    <row r="1571" spans="1:12" ht="15">
      <c r="A1571" s="114" t="s">
        <v>1905</v>
      </c>
      <c r="B1571" s="114" t="s">
        <v>1786</v>
      </c>
      <c r="C1571" s="114">
        <v>9</v>
      </c>
      <c r="D1571" s="116">
        <v>0.004780032444552434</v>
      </c>
      <c r="E1571" s="116">
        <v>1.4501024119890005</v>
      </c>
      <c r="F1571" s="114" t="s">
        <v>1712</v>
      </c>
      <c r="G1571" s="114" t="b">
        <v>0</v>
      </c>
      <c r="H1571" s="114" t="b">
        <v>0</v>
      </c>
      <c r="I1571" s="114" t="b">
        <v>0</v>
      </c>
      <c r="J1571" s="114" t="b">
        <v>0</v>
      </c>
      <c r="K1571" s="114" t="b">
        <v>0</v>
      </c>
      <c r="L1571" s="114" t="b">
        <v>0</v>
      </c>
    </row>
    <row r="1572" spans="1:12" ht="15">
      <c r="A1572" s="114" t="s">
        <v>1862</v>
      </c>
      <c r="B1572" s="114" t="s">
        <v>1831</v>
      </c>
      <c r="C1572" s="114">
        <v>9</v>
      </c>
      <c r="D1572" s="116">
        <v>0.004780032444552434</v>
      </c>
      <c r="E1572" s="116">
        <v>1.7309290215646949</v>
      </c>
      <c r="F1572" s="114" t="s">
        <v>1712</v>
      </c>
      <c r="G1572" s="114" t="b">
        <v>0</v>
      </c>
      <c r="H1572" s="114" t="b">
        <v>0</v>
      </c>
      <c r="I1572" s="114" t="b">
        <v>0</v>
      </c>
      <c r="J1572" s="114" t="b">
        <v>0</v>
      </c>
      <c r="K1572" s="114" t="b">
        <v>0</v>
      </c>
      <c r="L1572" s="114" t="b">
        <v>0</v>
      </c>
    </row>
    <row r="1573" spans="1:12" ht="15">
      <c r="A1573" s="114" t="s">
        <v>1831</v>
      </c>
      <c r="B1573" s="114" t="s">
        <v>1906</v>
      </c>
      <c r="C1573" s="114">
        <v>9</v>
      </c>
      <c r="D1573" s="116">
        <v>0.004780032444552434</v>
      </c>
      <c r="E1573" s="116">
        <v>1.8180791972835948</v>
      </c>
      <c r="F1573" s="114" t="s">
        <v>1712</v>
      </c>
      <c r="G1573" s="114" t="b">
        <v>0</v>
      </c>
      <c r="H1573" s="114" t="b">
        <v>0</v>
      </c>
      <c r="I1573" s="114" t="b">
        <v>0</v>
      </c>
      <c r="J1573" s="114" t="b">
        <v>0</v>
      </c>
      <c r="K1573" s="114" t="b">
        <v>0</v>
      </c>
      <c r="L1573" s="114" t="b">
        <v>0</v>
      </c>
    </row>
    <row r="1574" spans="1:12" ht="15">
      <c r="A1574" s="114" t="s">
        <v>1772</v>
      </c>
      <c r="B1574" s="114" t="s">
        <v>1752</v>
      </c>
      <c r="C1574" s="114">
        <v>9</v>
      </c>
      <c r="D1574" s="116">
        <v>0.004780032444552434</v>
      </c>
      <c r="E1574" s="116">
        <v>0.854991280616366</v>
      </c>
      <c r="F1574" s="114" t="s">
        <v>1712</v>
      </c>
      <c r="G1574" s="114" t="b">
        <v>0</v>
      </c>
      <c r="H1574" s="114" t="b">
        <v>0</v>
      </c>
      <c r="I1574" s="114" t="b">
        <v>0</v>
      </c>
      <c r="J1574" s="114" t="b">
        <v>0</v>
      </c>
      <c r="K1574" s="114" t="b">
        <v>0</v>
      </c>
      <c r="L1574" s="114" t="b">
        <v>0</v>
      </c>
    </row>
    <row r="1575" spans="1:12" ht="15">
      <c r="A1575" s="114" t="s">
        <v>1752</v>
      </c>
      <c r="B1575" s="114" t="s">
        <v>1772</v>
      </c>
      <c r="C1575" s="114">
        <v>9</v>
      </c>
      <c r="D1575" s="116">
        <v>0.004780032444552434</v>
      </c>
      <c r="E1575" s="116">
        <v>0.854991280616366</v>
      </c>
      <c r="F1575" s="114" t="s">
        <v>1712</v>
      </c>
      <c r="G1575" s="114" t="b">
        <v>0</v>
      </c>
      <c r="H1575" s="114" t="b">
        <v>0</v>
      </c>
      <c r="I1575" s="114" t="b">
        <v>0</v>
      </c>
      <c r="J1575" s="114" t="b">
        <v>0</v>
      </c>
      <c r="K1575" s="114" t="b">
        <v>0</v>
      </c>
      <c r="L1575" s="114" t="b">
        <v>0</v>
      </c>
    </row>
    <row r="1576" spans="1:12" ht="15">
      <c r="A1576" s="114" t="s">
        <v>1833</v>
      </c>
      <c r="B1576" s="114" t="s">
        <v>1862</v>
      </c>
      <c r="C1576" s="114">
        <v>8</v>
      </c>
      <c r="D1576" s="116">
        <v>0.0049186725232194485</v>
      </c>
      <c r="E1576" s="116">
        <v>1.5614683414080266</v>
      </c>
      <c r="F1576" s="114" t="s">
        <v>1712</v>
      </c>
      <c r="G1576" s="114" t="b">
        <v>0</v>
      </c>
      <c r="H1576" s="114" t="b">
        <v>0</v>
      </c>
      <c r="I1576" s="114" t="b">
        <v>0</v>
      </c>
      <c r="J1576" s="114" t="b">
        <v>0</v>
      </c>
      <c r="K1576" s="114" t="b">
        <v>0</v>
      </c>
      <c r="L1576" s="114" t="b">
        <v>0</v>
      </c>
    </row>
    <row r="1577" spans="1:12" ht="15">
      <c r="A1577" s="114" t="s">
        <v>1906</v>
      </c>
      <c r="B1577" s="114" t="s">
        <v>1930</v>
      </c>
      <c r="C1577" s="114">
        <v>8</v>
      </c>
      <c r="D1577" s="116">
        <v>0.0049186725232194485</v>
      </c>
      <c r="E1577" s="116">
        <v>1.8180791972835948</v>
      </c>
      <c r="F1577" s="114" t="s">
        <v>1712</v>
      </c>
      <c r="G1577" s="114" t="b">
        <v>0</v>
      </c>
      <c r="H1577" s="114" t="b">
        <v>0</v>
      </c>
      <c r="I1577" s="114" t="b">
        <v>0</v>
      </c>
      <c r="J1577" s="114" t="b">
        <v>0</v>
      </c>
      <c r="K1577" s="114" t="b">
        <v>0</v>
      </c>
      <c r="L1577" s="114" t="b">
        <v>0</v>
      </c>
    </row>
    <row r="1578" spans="1:12" ht="15">
      <c r="A1578" s="114" t="s">
        <v>1930</v>
      </c>
      <c r="B1578" s="114" t="s">
        <v>1763</v>
      </c>
      <c r="C1578" s="114">
        <v>8</v>
      </c>
      <c r="D1578" s="116">
        <v>0.0049186725232194485</v>
      </c>
      <c r="E1578" s="116">
        <v>1.410593870705327</v>
      </c>
      <c r="F1578" s="114" t="s">
        <v>1712</v>
      </c>
      <c r="G1578" s="114" t="b">
        <v>0</v>
      </c>
      <c r="H1578" s="114" t="b">
        <v>0</v>
      </c>
      <c r="I1578" s="114" t="b">
        <v>0</v>
      </c>
      <c r="J1578" s="114" t="b">
        <v>0</v>
      </c>
      <c r="K1578" s="114" t="b">
        <v>0</v>
      </c>
      <c r="L1578" s="114" t="b">
        <v>0</v>
      </c>
    </row>
    <row r="1579" spans="1:12" ht="15">
      <c r="A1579" s="114" t="s">
        <v>1772</v>
      </c>
      <c r="B1579" s="114" t="s">
        <v>1931</v>
      </c>
      <c r="C1579" s="114">
        <v>8</v>
      </c>
      <c r="D1579" s="116">
        <v>0.0049186725232194485</v>
      </c>
      <c r="E1579" s="116">
        <v>1.3921104650113136</v>
      </c>
      <c r="F1579" s="114" t="s">
        <v>1712</v>
      </c>
      <c r="G1579" s="114" t="b">
        <v>0</v>
      </c>
      <c r="H1579" s="114" t="b">
        <v>0</v>
      </c>
      <c r="I1579" s="114" t="b">
        <v>0</v>
      </c>
      <c r="J1579" s="114" t="b">
        <v>0</v>
      </c>
      <c r="K1579" s="114" t="b">
        <v>0</v>
      </c>
      <c r="L1579" s="114" t="b">
        <v>0</v>
      </c>
    </row>
    <row r="1580" spans="1:12" ht="15">
      <c r="A1580" s="114" t="s">
        <v>1931</v>
      </c>
      <c r="B1580" s="114" t="s">
        <v>1932</v>
      </c>
      <c r="C1580" s="114">
        <v>8</v>
      </c>
      <c r="D1580" s="116">
        <v>0.0049186725232194485</v>
      </c>
      <c r="E1580" s="116">
        <v>1.869231719730976</v>
      </c>
      <c r="F1580" s="114" t="s">
        <v>1712</v>
      </c>
      <c r="G1580" s="114" t="b">
        <v>0</v>
      </c>
      <c r="H1580" s="114" t="b">
        <v>0</v>
      </c>
      <c r="I1580" s="114" t="b">
        <v>0</v>
      </c>
      <c r="J1580" s="114" t="b">
        <v>0</v>
      </c>
      <c r="K1580" s="114" t="b">
        <v>0</v>
      </c>
      <c r="L1580" s="114" t="b">
        <v>0</v>
      </c>
    </row>
    <row r="1581" spans="1:12" ht="15">
      <c r="A1581" s="114" t="s">
        <v>1908</v>
      </c>
      <c r="B1581" s="114" t="s">
        <v>1953</v>
      </c>
      <c r="C1581" s="114">
        <v>7</v>
      </c>
      <c r="D1581" s="116">
        <v>0.014650204920899839</v>
      </c>
      <c r="E1581" s="116">
        <v>1.8180791972835948</v>
      </c>
      <c r="F1581" s="114" t="s">
        <v>1712</v>
      </c>
      <c r="G1581" s="114" t="b">
        <v>0</v>
      </c>
      <c r="H1581" s="114" t="b">
        <v>0</v>
      </c>
      <c r="I1581" s="114" t="b">
        <v>0</v>
      </c>
      <c r="J1581" s="114" t="b">
        <v>0</v>
      </c>
      <c r="K1581" s="114" t="b">
        <v>0</v>
      </c>
      <c r="L1581" s="114" t="b">
        <v>0</v>
      </c>
    </row>
    <row r="1582" spans="1:12" ht="15">
      <c r="A1582" s="114" t="s">
        <v>1907</v>
      </c>
      <c r="B1582" s="114" t="s">
        <v>1908</v>
      </c>
      <c r="C1582" s="114">
        <v>6</v>
      </c>
      <c r="D1582" s="116">
        <v>0.012557318503628434</v>
      </c>
      <c r="E1582" s="116">
        <v>1.6419879382279137</v>
      </c>
      <c r="F1582" s="114" t="s">
        <v>1712</v>
      </c>
      <c r="G1582" s="114" t="b">
        <v>0</v>
      </c>
      <c r="H1582" s="114" t="b">
        <v>0</v>
      </c>
      <c r="I1582" s="114" t="b">
        <v>0</v>
      </c>
      <c r="J1582" s="114" t="b">
        <v>0</v>
      </c>
      <c r="K1582" s="114" t="b">
        <v>0</v>
      </c>
      <c r="L1582" s="114" t="b">
        <v>0</v>
      </c>
    </row>
    <row r="1583" spans="1:12" ht="15">
      <c r="A1583" s="114" t="s">
        <v>2121</v>
      </c>
      <c r="B1583" s="114" t="s">
        <v>1863</v>
      </c>
      <c r="C1583" s="114">
        <v>4</v>
      </c>
      <c r="D1583" s="116">
        <v>0.008371545669085623</v>
      </c>
      <c r="E1583" s="116">
        <v>1.7723217067229198</v>
      </c>
      <c r="F1583" s="114" t="s">
        <v>1712</v>
      </c>
      <c r="G1583" s="114" t="b">
        <v>0</v>
      </c>
      <c r="H1583" s="114" t="b">
        <v>0</v>
      </c>
      <c r="I1583" s="114" t="b">
        <v>0</v>
      </c>
      <c r="J1583" s="114" t="b">
        <v>0</v>
      </c>
      <c r="K1583" s="114" t="b">
        <v>0</v>
      </c>
      <c r="L1583" s="114" t="b">
        <v>0</v>
      </c>
    </row>
    <row r="1584" spans="1:12" ht="15">
      <c r="A1584" s="114" t="s">
        <v>1829</v>
      </c>
      <c r="B1584" s="114" t="s">
        <v>1859</v>
      </c>
      <c r="C1584" s="114">
        <v>4</v>
      </c>
      <c r="D1584" s="116">
        <v>0.008371545669085623</v>
      </c>
      <c r="E1584" s="116">
        <v>1.8972604433312197</v>
      </c>
      <c r="F1584" s="114" t="s">
        <v>1712</v>
      </c>
      <c r="G1584" s="114" t="b">
        <v>0</v>
      </c>
      <c r="H1584" s="114" t="b">
        <v>0</v>
      </c>
      <c r="I1584" s="114" t="b">
        <v>0</v>
      </c>
      <c r="J1584" s="114" t="b">
        <v>0</v>
      </c>
      <c r="K1584" s="114" t="b">
        <v>0</v>
      </c>
      <c r="L1584" s="114" t="b">
        <v>0</v>
      </c>
    </row>
    <row r="1585" spans="1:12" ht="15">
      <c r="A1585" s="114" t="s">
        <v>1833</v>
      </c>
      <c r="B1585" s="114" t="s">
        <v>1763</v>
      </c>
      <c r="C1585" s="114">
        <v>3</v>
      </c>
      <c r="D1585" s="116">
        <v>0.003936001699999181</v>
      </c>
      <c r="E1585" s="116">
        <v>0.7737717731181526</v>
      </c>
      <c r="F1585" s="114" t="s">
        <v>1712</v>
      </c>
      <c r="G1585" s="114" t="b">
        <v>0</v>
      </c>
      <c r="H1585" s="114" t="b">
        <v>0</v>
      </c>
      <c r="I1585" s="114" t="b">
        <v>0</v>
      </c>
      <c r="J1585" s="114" t="b">
        <v>0</v>
      </c>
      <c r="K1585" s="114" t="b">
        <v>0</v>
      </c>
      <c r="L1585" s="114" t="b">
        <v>0</v>
      </c>
    </row>
    <row r="1586" spans="1:12" ht="15">
      <c r="A1586" s="114" t="s">
        <v>1741</v>
      </c>
      <c r="B1586" s="114" t="s">
        <v>1743</v>
      </c>
      <c r="C1586" s="114">
        <v>3</v>
      </c>
      <c r="D1586" s="116">
        <v>0.004800606899945242</v>
      </c>
      <c r="E1586" s="116">
        <v>2.1702617153949575</v>
      </c>
      <c r="F1586" s="114" t="s">
        <v>1712</v>
      </c>
      <c r="G1586" s="114" t="b">
        <v>0</v>
      </c>
      <c r="H1586" s="114" t="b">
        <v>0</v>
      </c>
      <c r="I1586" s="114" t="b">
        <v>0</v>
      </c>
      <c r="J1586" s="114" t="b">
        <v>0</v>
      </c>
      <c r="K1586" s="114" t="b">
        <v>0</v>
      </c>
      <c r="L1586" s="114" t="b">
        <v>0</v>
      </c>
    </row>
    <row r="1587" spans="1:12" ht="15">
      <c r="A1587" s="114" t="s">
        <v>1927</v>
      </c>
      <c r="B1587" s="114" t="s">
        <v>2120</v>
      </c>
      <c r="C1587" s="114">
        <v>3</v>
      </c>
      <c r="D1587" s="116">
        <v>0.006278659251814217</v>
      </c>
      <c r="E1587" s="116">
        <v>1.802284930100363</v>
      </c>
      <c r="F1587" s="114" t="s">
        <v>1712</v>
      </c>
      <c r="G1587" s="114" t="b">
        <v>0</v>
      </c>
      <c r="H1587" s="114" t="b">
        <v>0</v>
      </c>
      <c r="I1587" s="114" t="b">
        <v>0</v>
      </c>
      <c r="J1587" s="114" t="b">
        <v>0</v>
      </c>
      <c r="K1587" s="114" t="b">
        <v>0</v>
      </c>
      <c r="L1587" s="114" t="b">
        <v>0</v>
      </c>
    </row>
    <row r="1588" spans="1:12" ht="15">
      <c r="A1588" s="114" t="s">
        <v>2120</v>
      </c>
      <c r="B1588" s="114" t="s">
        <v>1927</v>
      </c>
      <c r="C1588" s="114">
        <v>3</v>
      </c>
      <c r="D1588" s="116">
        <v>0.006278659251814217</v>
      </c>
      <c r="E1588" s="116">
        <v>1.802284930100363</v>
      </c>
      <c r="F1588" s="114" t="s">
        <v>1712</v>
      </c>
      <c r="G1588" s="114" t="b">
        <v>0</v>
      </c>
      <c r="H1588" s="114" t="b">
        <v>0</v>
      </c>
      <c r="I1588" s="114" t="b">
        <v>0</v>
      </c>
      <c r="J1588" s="114" t="b">
        <v>0</v>
      </c>
      <c r="K1588" s="114" t="b">
        <v>0</v>
      </c>
      <c r="L1588" s="114" t="b">
        <v>0</v>
      </c>
    </row>
    <row r="1589" spans="1:12" ht="15">
      <c r="A1589" s="114" t="s">
        <v>2264</v>
      </c>
      <c r="B1589" s="114" t="s">
        <v>1772</v>
      </c>
      <c r="C1589" s="114">
        <v>3</v>
      </c>
      <c r="D1589" s="116">
        <v>0.006278659251814217</v>
      </c>
      <c r="E1589" s="116">
        <v>1.3921104650113136</v>
      </c>
      <c r="F1589" s="114" t="s">
        <v>1712</v>
      </c>
      <c r="G1589" s="114" t="b">
        <v>0</v>
      </c>
      <c r="H1589" s="114" t="b">
        <v>0</v>
      </c>
      <c r="I1589" s="114" t="b">
        <v>0</v>
      </c>
      <c r="J1589" s="114" t="b">
        <v>0</v>
      </c>
      <c r="K1589" s="114" t="b">
        <v>0</v>
      </c>
      <c r="L1589" s="114" t="b">
        <v>0</v>
      </c>
    </row>
    <row r="1590" spans="1:12" ht="15">
      <c r="A1590" s="114" t="s">
        <v>1853</v>
      </c>
      <c r="B1590" s="114" t="s">
        <v>1829</v>
      </c>
      <c r="C1590" s="114">
        <v>3</v>
      </c>
      <c r="D1590" s="116">
        <v>0.006278659251814217</v>
      </c>
      <c r="E1590" s="116">
        <v>1.7723217067229198</v>
      </c>
      <c r="F1590" s="114" t="s">
        <v>1712</v>
      </c>
      <c r="G1590" s="114" t="b">
        <v>0</v>
      </c>
      <c r="H1590" s="114" t="b">
        <v>0</v>
      </c>
      <c r="I1590" s="114" t="b">
        <v>0</v>
      </c>
      <c r="J1590" s="114" t="b">
        <v>0</v>
      </c>
      <c r="K1590" s="114" t="b">
        <v>0</v>
      </c>
      <c r="L1590" s="114" t="b">
        <v>0</v>
      </c>
    </row>
    <row r="1591" spans="1:12" ht="15">
      <c r="A1591" s="114" t="s">
        <v>1814</v>
      </c>
      <c r="B1591" s="114" t="s">
        <v>1741</v>
      </c>
      <c r="C1591" s="114">
        <v>2</v>
      </c>
      <c r="D1591" s="116">
        <v>0.0041857728345428115</v>
      </c>
      <c r="E1591" s="116">
        <v>2.1702617153949575</v>
      </c>
      <c r="F1591" s="114" t="s">
        <v>1712</v>
      </c>
      <c r="G1591" s="114" t="b">
        <v>0</v>
      </c>
      <c r="H1591" s="114" t="b">
        <v>0</v>
      </c>
      <c r="I1591" s="114" t="b">
        <v>0</v>
      </c>
      <c r="J1591" s="114" t="b">
        <v>0</v>
      </c>
      <c r="K1591" s="114" t="b">
        <v>0</v>
      </c>
      <c r="L1591" s="114" t="b">
        <v>0</v>
      </c>
    </row>
    <row r="1592" spans="1:12" ht="15">
      <c r="A1592" s="114" t="s">
        <v>2139</v>
      </c>
      <c r="B1592" s="114" t="s">
        <v>1927</v>
      </c>
      <c r="C1592" s="114">
        <v>2</v>
      </c>
      <c r="D1592" s="116">
        <v>0.0041857728345428115</v>
      </c>
      <c r="E1592" s="116">
        <v>1.9272236667086629</v>
      </c>
      <c r="F1592" s="114" t="s">
        <v>1712</v>
      </c>
      <c r="G1592" s="114" t="b">
        <v>0</v>
      </c>
      <c r="H1592" s="114" t="b">
        <v>0</v>
      </c>
      <c r="I1592" s="114" t="b">
        <v>0</v>
      </c>
      <c r="J1592" s="114" t="b">
        <v>0</v>
      </c>
      <c r="K1592" s="114" t="b">
        <v>0</v>
      </c>
      <c r="L1592" s="114" t="b">
        <v>0</v>
      </c>
    </row>
    <row r="1593" spans="1:12" ht="15">
      <c r="A1593" s="114" t="s">
        <v>1927</v>
      </c>
      <c r="B1593" s="114" t="s">
        <v>1927</v>
      </c>
      <c r="C1593" s="114">
        <v>2</v>
      </c>
      <c r="D1593" s="116">
        <v>0.0041857728345428115</v>
      </c>
      <c r="E1593" s="116">
        <v>1.3831556223583874</v>
      </c>
      <c r="F1593" s="114" t="s">
        <v>1712</v>
      </c>
      <c r="G1593" s="114" t="b">
        <v>0</v>
      </c>
      <c r="H1593" s="114" t="b">
        <v>0</v>
      </c>
      <c r="I1593" s="114" t="b">
        <v>0</v>
      </c>
      <c r="J1593" s="114" t="b">
        <v>0</v>
      </c>
      <c r="K1593" s="114" t="b">
        <v>0</v>
      </c>
      <c r="L1593" s="114" t="b">
        <v>0</v>
      </c>
    </row>
    <row r="1594" spans="1:12" ht="15">
      <c r="A1594" s="114" t="s">
        <v>2016</v>
      </c>
      <c r="B1594" s="114" t="s">
        <v>1863</v>
      </c>
      <c r="C1594" s="114">
        <v>2</v>
      </c>
      <c r="D1594" s="116">
        <v>0.0041857728345428115</v>
      </c>
      <c r="E1594" s="116">
        <v>1.5962304476672384</v>
      </c>
      <c r="F1594" s="114" t="s">
        <v>1712</v>
      </c>
      <c r="G1594" s="114" t="b">
        <v>0</v>
      </c>
      <c r="H1594" s="114" t="b">
        <v>0</v>
      </c>
      <c r="I1594" s="114" t="b">
        <v>0</v>
      </c>
      <c r="J1594" s="114" t="b">
        <v>0</v>
      </c>
      <c r="K1594" s="114" t="b">
        <v>0</v>
      </c>
      <c r="L1594" s="114" t="b">
        <v>0</v>
      </c>
    </row>
    <row r="1595" spans="1:12" ht="15">
      <c r="A1595" s="114" t="s">
        <v>2265</v>
      </c>
      <c r="B1595" s="114" t="s">
        <v>1852</v>
      </c>
      <c r="C1595" s="114">
        <v>2</v>
      </c>
      <c r="D1595" s="116">
        <v>0.0041857728345428115</v>
      </c>
      <c r="E1595" s="116">
        <v>2.2952004520032574</v>
      </c>
      <c r="F1595" s="114" t="s">
        <v>1712</v>
      </c>
      <c r="G1595" s="114" t="b">
        <v>0</v>
      </c>
      <c r="H1595" s="114" t="b">
        <v>0</v>
      </c>
      <c r="I1595" s="114" t="b">
        <v>0</v>
      </c>
      <c r="J1595" s="114" t="b">
        <v>0</v>
      </c>
      <c r="K1595" s="114" t="b">
        <v>0</v>
      </c>
      <c r="L1595" s="114" t="b">
        <v>0</v>
      </c>
    </row>
    <row r="1596" spans="1:12" ht="15">
      <c r="A1596" s="114" t="s">
        <v>2553</v>
      </c>
      <c r="B1596" s="114" t="s">
        <v>1774</v>
      </c>
      <c r="C1596" s="114">
        <v>2</v>
      </c>
      <c r="D1596" s="116">
        <v>0.0041857728345428115</v>
      </c>
      <c r="E1596" s="116">
        <v>1.9941704563392761</v>
      </c>
      <c r="F1596" s="114" t="s">
        <v>1712</v>
      </c>
      <c r="G1596" s="114" t="b">
        <v>0</v>
      </c>
      <c r="H1596" s="114" t="b">
        <v>0</v>
      </c>
      <c r="I1596" s="114" t="b">
        <v>0</v>
      </c>
      <c r="J1596" s="114" t="b">
        <v>0</v>
      </c>
      <c r="K1596" s="114" t="b">
        <v>1</v>
      </c>
      <c r="L1596" s="114" t="b">
        <v>0</v>
      </c>
    </row>
    <row r="1597" spans="1:12" ht="15">
      <c r="A1597" s="114" t="s">
        <v>2551</v>
      </c>
      <c r="B1597" s="114" t="s">
        <v>2552</v>
      </c>
      <c r="C1597" s="114">
        <v>2</v>
      </c>
      <c r="D1597" s="116">
        <v>0.0041857728345428115</v>
      </c>
      <c r="E1597" s="116">
        <v>2.4712917110589383</v>
      </c>
      <c r="F1597" s="114" t="s">
        <v>1712</v>
      </c>
      <c r="G1597" s="114" t="b">
        <v>0</v>
      </c>
      <c r="H1597" s="114" t="b">
        <v>0</v>
      </c>
      <c r="I1597" s="114" t="b">
        <v>0</v>
      </c>
      <c r="J1597" s="114" t="b">
        <v>0</v>
      </c>
      <c r="K1597" s="114" t="b">
        <v>0</v>
      </c>
      <c r="L1597" s="114" t="b">
        <v>0</v>
      </c>
    </row>
    <row r="1598" spans="1:12" ht="15">
      <c r="A1598" s="114" t="s">
        <v>2079</v>
      </c>
      <c r="B1598" s="114" t="s">
        <v>2538</v>
      </c>
      <c r="C1598" s="114">
        <v>2</v>
      </c>
      <c r="D1598" s="116">
        <v>0.003200404599963495</v>
      </c>
      <c r="E1598" s="116">
        <v>2.2952004520032574</v>
      </c>
      <c r="F1598" s="114" t="s">
        <v>1712</v>
      </c>
      <c r="G1598" s="114" t="b">
        <v>0</v>
      </c>
      <c r="H1598" s="114" t="b">
        <v>0</v>
      </c>
      <c r="I1598" s="114" t="b">
        <v>0</v>
      </c>
      <c r="J1598" s="114" t="b">
        <v>0</v>
      </c>
      <c r="K1598" s="114" t="b">
        <v>0</v>
      </c>
      <c r="L1598" s="114" t="b">
        <v>0</v>
      </c>
    </row>
    <row r="1599" spans="1:12" ht="15">
      <c r="A1599" s="114" t="s">
        <v>2541</v>
      </c>
      <c r="B1599" s="114" t="s">
        <v>2542</v>
      </c>
      <c r="C1599" s="114">
        <v>2</v>
      </c>
      <c r="D1599" s="116">
        <v>0.003200404599963495</v>
      </c>
      <c r="E1599" s="116">
        <v>2.4712917110589383</v>
      </c>
      <c r="F1599" s="114" t="s">
        <v>1712</v>
      </c>
      <c r="G1599" s="114" t="b">
        <v>0</v>
      </c>
      <c r="H1599" s="114" t="b">
        <v>0</v>
      </c>
      <c r="I1599" s="114" t="b">
        <v>0</v>
      </c>
      <c r="J1599" s="114" t="b">
        <v>0</v>
      </c>
      <c r="K1599" s="114" t="b">
        <v>0</v>
      </c>
      <c r="L1599" s="114" t="b">
        <v>0</v>
      </c>
    </row>
    <row r="1600" spans="1:12" ht="15">
      <c r="A1600" s="114" t="s">
        <v>1953</v>
      </c>
      <c r="B1600" s="114" t="s">
        <v>1907</v>
      </c>
      <c r="C1600" s="114">
        <v>2</v>
      </c>
      <c r="D1600" s="116">
        <v>0.0041857728345428115</v>
      </c>
      <c r="E1600" s="116">
        <v>1.3251636753807006</v>
      </c>
      <c r="F1600" s="114" t="s">
        <v>1712</v>
      </c>
      <c r="G1600" s="114" t="b">
        <v>0</v>
      </c>
      <c r="H1600" s="114" t="b">
        <v>0</v>
      </c>
      <c r="I1600" s="114" t="b">
        <v>0</v>
      </c>
      <c r="J1600" s="114" t="b">
        <v>0</v>
      </c>
      <c r="K1600" s="114" t="b">
        <v>0</v>
      </c>
      <c r="L1600" s="114" t="b">
        <v>0</v>
      </c>
    </row>
    <row r="1601" spans="1:12" ht="15">
      <c r="A1601" s="114" t="s">
        <v>1953</v>
      </c>
      <c r="B1601" s="114" t="s">
        <v>1767</v>
      </c>
      <c r="C1601" s="114">
        <v>2</v>
      </c>
      <c r="D1601" s="116">
        <v>0.0041857728345428115</v>
      </c>
      <c r="E1601" s="116">
        <v>1.4501024119890005</v>
      </c>
      <c r="F1601" s="114" t="s">
        <v>1712</v>
      </c>
      <c r="G1601" s="114" t="b">
        <v>0</v>
      </c>
      <c r="H1601" s="114" t="b">
        <v>0</v>
      </c>
      <c r="I1601" s="114" t="b">
        <v>0</v>
      </c>
      <c r="J1601" s="114" t="b">
        <v>0</v>
      </c>
      <c r="K1601" s="114" t="b">
        <v>0</v>
      </c>
      <c r="L1601" s="114" t="b">
        <v>0</v>
      </c>
    </row>
    <row r="1602" spans="1:12" ht="15">
      <c r="A1602" s="114" t="s">
        <v>1772</v>
      </c>
      <c r="B1602" s="114" t="s">
        <v>2548</v>
      </c>
      <c r="C1602" s="114">
        <v>2</v>
      </c>
      <c r="D1602" s="116">
        <v>0.0041857728345428115</v>
      </c>
      <c r="E1602" s="116">
        <v>1.3921104650113136</v>
      </c>
      <c r="F1602" s="114" t="s">
        <v>1712</v>
      </c>
      <c r="G1602" s="114" t="b">
        <v>0</v>
      </c>
      <c r="H1602" s="114" t="b">
        <v>0</v>
      </c>
      <c r="I1602" s="114" t="b">
        <v>0</v>
      </c>
      <c r="J1602" s="114" t="b">
        <v>1</v>
      </c>
      <c r="K1602" s="114" t="b">
        <v>0</v>
      </c>
      <c r="L1602" s="114" t="b">
        <v>0</v>
      </c>
    </row>
    <row r="1603" spans="1:12" ht="15">
      <c r="A1603" s="114" t="s">
        <v>1791</v>
      </c>
      <c r="B1603" s="114" t="s">
        <v>1907</v>
      </c>
      <c r="C1603" s="114">
        <v>2</v>
      </c>
      <c r="D1603" s="116">
        <v>0.0041857728345428115</v>
      </c>
      <c r="E1603" s="116">
        <v>1.693140460675295</v>
      </c>
      <c r="F1603" s="114" t="s">
        <v>1712</v>
      </c>
      <c r="G1603" s="114" t="b">
        <v>0</v>
      </c>
      <c r="H1603" s="114" t="b">
        <v>0</v>
      </c>
      <c r="I1603" s="114" t="b">
        <v>0</v>
      </c>
      <c r="J1603" s="114" t="b">
        <v>0</v>
      </c>
      <c r="K1603" s="114" t="b">
        <v>0</v>
      </c>
      <c r="L1603" s="114" t="b">
        <v>0</v>
      </c>
    </row>
    <row r="1604" spans="1:12" ht="15">
      <c r="A1604" s="114" t="s">
        <v>1754</v>
      </c>
      <c r="B1604" s="114" t="s">
        <v>1832</v>
      </c>
      <c r="C1604" s="114">
        <v>2</v>
      </c>
      <c r="D1604" s="116">
        <v>0.003200404599963495</v>
      </c>
      <c r="E1604" s="116">
        <v>0.403105849312777</v>
      </c>
      <c r="F1604" s="114" t="s">
        <v>1712</v>
      </c>
      <c r="G1604" s="114" t="b">
        <v>0</v>
      </c>
      <c r="H1604" s="114" t="b">
        <v>0</v>
      </c>
      <c r="I1604" s="114" t="b">
        <v>0</v>
      </c>
      <c r="J1604" s="114" t="b">
        <v>0</v>
      </c>
      <c r="K1604" s="114" t="b">
        <v>0</v>
      </c>
      <c r="L1604" s="114" t="b">
        <v>0</v>
      </c>
    </row>
    <row r="1605" spans="1:12" ht="15">
      <c r="A1605" s="114" t="s">
        <v>2024</v>
      </c>
      <c r="B1605" s="114" t="s">
        <v>2119</v>
      </c>
      <c r="C1605" s="114">
        <v>2</v>
      </c>
      <c r="D1605" s="116">
        <v>0.0041857728345428115</v>
      </c>
      <c r="E1605" s="116">
        <v>1.7723217067229198</v>
      </c>
      <c r="F1605" s="114" t="s">
        <v>1712</v>
      </c>
      <c r="G1605" s="114" t="b">
        <v>0</v>
      </c>
      <c r="H1605" s="114" t="b">
        <v>0</v>
      </c>
      <c r="I1605" s="114" t="b">
        <v>0</v>
      </c>
      <c r="J1605" s="114" t="b">
        <v>0</v>
      </c>
      <c r="K1605" s="114" t="b">
        <v>0</v>
      </c>
      <c r="L1605" s="114" t="b">
        <v>0</v>
      </c>
    </row>
    <row r="1606" spans="1:12" ht="15">
      <c r="A1606" s="114" t="s">
        <v>2119</v>
      </c>
      <c r="B1606" s="114" t="s">
        <v>2024</v>
      </c>
      <c r="C1606" s="114">
        <v>2</v>
      </c>
      <c r="D1606" s="116">
        <v>0.0041857728345428115</v>
      </c>
      <c r="E1606" s="116">
        <v>1.7723217067229198</v>
      </c>
      <c r="F1606" s="114" t="s">
        <v>1712</v>
      </c>
      <c r="G1606" s="114" t="b">
        <v>0</v>
      </c>
      <c r="H1606" s="114" t="b">
        <v>0</v>
      </c>
      <c r="I1606" s="114" t="b">
        <v>0</v>
      </c>
      <c r="J1606" s="114" t="b">
        <v>0</v>
      </c>
      <c r="K1606" s="114" t="b">
        <v>0</v>
      </c>
      <c r="L1606" s="114" t="b">
        <v>0</v>
      </c>
    </row>
    <row r="1607" spans="1:12" ht="15">
      <c r="A1607" s="114" t="s">
        <v>1862</v>
      </c>
      <c r="B1607" s="114" t="s">
        <v>1778</v>
      </c>
      <c r="C1607" s="114">
        <v>2</v>
      </c>
      <c r="D1607" s="116">
        <v>0.0041857728345428115</v>
      </c>
      <c r="E1607" s="116">
        <v>1.4298990259007136</v>
      </c>
      <c r="F1607" s="114" t="s">
        <v>1712</v>
      </c>
      <c r="G1607" s="114" t="b">
        <v>0</v>
      </c>
      <c r="H1607" s="114" t="b">
        <v>0</v>
      </c>
      <c r="I1607" s="114" t="b">
        <v>0</v>
      </c>
      <c r="J1607" s="114" t="b">
        <v>0</v>
      </c>
      <c r="K1607" s="114" t="b">
        <v>0</v>
      </c>
      <c r="L1607" s="114" t="b">
        <v>0</v>
      </c>
    </row>
    <row r="1608" spans="1:12" ht="15">
      <c r="A1608" s="114" t="s">
        <v>1780</v>
      </c>
      <c r="B1608" s="114" t="s">
        <v>1781</v>
      </c>
      <c r="C1608" s="114">
        <v>2</v>
      </c>
      <c r="D1608" s="116">
        <v>0.003200404599963495</v>
      </c>
      <c r="E1608" s="116">
        <v>2.4712917110589383</v>
      </c>
      <c r="F1608" s="114" t="s">
        <v>1712</v>
      </c>
      <c r="G1608" s="114" t="b">
        <v>0</v>
      </c>
      <c r="H1608" s="114" t="b">
        <v>0</v>
      </c>
      <c r="I1608" s="114" t="b">
        <v>0</v>
      </c>
      <c r="J1608" s="114" t="b">
        <v>0</v>
      </c>
      <c r="K1608" s="114" t="b">
        <v>0</v>
      </c>
      <c r="L1608" s="114" t="b">
        <v>0</v>
      </c>
    </row>
    <row r="1609" spans="1:12" ht="15">
      <c r="A1609" s="114" t="s">
        <v>2263</v>
      </c>
      <c r="B1609" s="114" t="s">
        <v>2017</v>
      </c>
      <c r="C1609" s="114">
        <v>2</v>
      </c>
      <c r="D1609" s="116">
        <v>0.0041857728345428115</v>
      </c>
      <c r="E1609" s="116">
        <v>2.4712917110589383</v>
      </c>
      <c r="F1609" s="114" t="s">
        <v>1712</v>
      </c>
      <c r="G1609" s="114" t="b">
        <v>0</v>
      </c>
      <c r="H1609" s="114" t="b">
        <v>0</v>
      </c>
      <c r="I1609" s="114" t="b">
        <v>0</v>
      </c>
      <c r="J1609" s="114" t="b">
        <v>0</v>
      </c>
      <c r="K1609" s="114" t="b">
        <v>0</v>
      </c>
      <c r="L1609" s="114" t="b">
        <v>0</v>
      </c>
    </row>
    <row r="1610" spans="1:12" ht="15">
      <c r="A1610" s="114" t="s">
        <v>2543</v>
      </c>
      <c r="B1610" s="114" t="s">
        <v>2544</v>
      </c>
      <c r="C1610" s="114">
        <v>2</v>
      </c>
      <c r="D1610" s="116">
        <v>0.0041857728345428115</v>
      </c>
      <c r="E1610" s="116">
        <v>2.4712917110589383</v>
      </c>
      <c r="F1610" s="114" t="s">
        <v>1712</v>
      </c>
      <c r="G1610" s="114" t="b">
        <v>0</v>
      </c>
      <c r="H1610" s="114" t="b">
        <v>0</v>
      </c>
      <c r="I1610" s="114" t="b">
        <v>0</v>
      </c>
      <c r="J1610" s="114" t="b">
        <v>0</v>
      </c>
      <c r="K1610" s="114" t="b">
        <v>0</v>
      </c>
      <c r="L1610" s="114" t="b">
        <v>0</v>
      </c>
    </row>
    <row r="1611" spans="1:12" ht="15">
      <c r="A1611" s="114" t="s">
        <v>2118</v>
      </c>
      <c r="B1611" s="114" t="s">
        <v>2118</v>
      </c>
      <c r="C1611" s="114">
        <v>2</v>
      </c>
      <c r="D1611" s="116">
        <v>0.0041857728345428115</v>
      </c>
      <c r="E1611" s="116">
        <v>1.869231719730976</v>
      </c>
      <c r="F1611" s="114" t="s">
        <v>1712</v>
      </c>
      <c r="G1611" s="114" t="b">
        <v>0</v>
      </c>
      <c r="H1611" s="114" t="b">
        <v>0</v>
      </c>
      <c r="I1611" s="114" t="b">
        <v>0</v>
      </c>
      <c r="J1611" s="114" t="b">
        <v>0</v>
      </c>
      <c r="K1611" s="114" t="b">
        <v>0</v>
      </c>
      <c r="L1611" s="114" t="b">
        <v>0</v>
      </c>
    </row>
    <row r="1612" spans="1:12" ht="15">
      <c r="A1612" s="114" t="s">
        <v>1859</v>
      </c>
      <c r="B1612" s="114" t="s">
        <v>1853</v>
      </c>
      <c r="C1612" s="114">
        <v>2</v>
      </c>
      <c r="D1612" s="116">
        <v>0.0041857728345428115</v>
      </c>
      <c r="E1612" s="116">
        <v>1.7723217067229198</v>
      </c>
      <c r="F1612" s="114" t="s">
        <v>1712</v>
      </c>
      <c r="G1612" s="114" t="b">
        <v>0</v>
      </c>
      <c r="H1612" s="114" t="b">
        <v>0</v>
      </c>
      <c r="I1612" s="114" t="b">
        <v>0</v>
      </c>
      <c r="J1612" s="114" t="b">
        <v>0</v>
      </c>
      <c r="K1612" s="114" t="b">
        <v>0</v>
      </c>
      <c r="L1612" s="114" t="b">
        <v>0</v>
      </c>
    </row>
    <row r="1613" spans="1:12" ht="15">
      <c r="A1613" s="114" t="s">
        <v>1820</v>
      </c>
      <c r="B1613" s="114" t="s">
        <v>1740</v>
      </c>
      <c r="C1613" s="114">
        <v>7</v>
      </c>
      <c r="D1613" s="116">
        <v>0.01407605868569995</v>
      </c>
      <c r="E1613" s="116">
        <v>1.3059058469964437</v>
      </c>
      <c r="F1613" s="114" t="s">
        <v>1713</v>
      </c>
      <c r="G1613" s="114" t="b">
        <v>0</v>
      </c>
      <c r="H1613" s="114" t="b">
        <v>0</v>
      </c>
      <c r="I1613" s="114" t="b">
        <v>0</v>
      </c>
      <c r="J1613" s="114" t="b">
        <v>0</v>
      </c>
      <c r="K1613" s="114" t="b">
        <v>0</v>
      </c>
      <c r="L1613" s="114" t="b">
        <v>0</v>
      </c>
    </row>
    <row r="1614" spans="1:12" ht="15">
      <c r="A1614" s="114" t="s">
        <v>1779</v>
      </c>
      <c r="B1614" s="114" t="s">
        <v>1755</v>
      </c>
      <c r="C1614" s="114">
        <v>6</v>
      </c>
      <c r="D1614" s="116">
        <v>0.004848952815582729</v>
      </c>
      <c r="E1614" s="116">
        <v>1.3299061234002103</v>
      </c>
      <c r="F1614" s="114" t="s">
        <v>1713</v>
      </c>
      <c r="G1614" s="114" t="b">
        <v>0</v>
      </c>
      <c r="H1614" s="114" t="b">
        <v>0</v>
      </c>
      <c r="I1614" s="114" t="b">
        <v>0</v>
      </c>
      <c r="J1614" s="114" t="b">
        <v>0</v>
      </c>
      <c r="K1614" s="114" t="b">
        <v>0</v>
      </c>
      <c r="L1614" s="114" t="b">
        <v>0</v>
      </c>
    </row>
    <row r="1615" spans="1:12" ht="15">
      <c r="A1615" s="114" t="s">
        <v>1854</v>
      </c>
      <c r="B1615" s="114" t="s">
        <v>1855</v>
      </c>
      <c r="C1615" s="114">
        <v>5</v>
      </c>
      <c r="D1615" s="116">
        <v>0.0077279752704791345</v>
      </c>
      <c r="E1615" s="116">
        <v>2.0982975364946976</v>
      </c>
      <c r="F1615" s="114" t="s">
        <v>1713</v>
      </c>
      <c r="G1615" s="114" t="b">
        <v>0</v>
      </c>
      <c r="H1615" s="114" t="b">
        <v>0</v>
      </c>
      <c r="I1615" s="114" t="b">
        <v>0</v>
      </c>
      <c r="J1615" s="114" t="b">
        <v>0</v>
      </c>
      <c r="K1615" s="114" t="b">
        <v>0</v>
      </c>
      <c r="L1615" s="114" t="b">
        <v>0</v>
      </c>
    </row>
    <row r="1616" spans="1:12" ht="15">
      <c r="A1616" s="114" t="s">
        <v>1761</v>
      </c>
      <c r="B1616" s="114" t="s">
        <v>1745</v>
      </c>
      <c r="C1616" s="114">
        <v>5</v>
      </c>
      <c r="D1616" s="116">
        <v>0.006367146375149295</v>
      </c>
      <c r="E1616" s="116">
        <v>1.7972675408307164</v>
      </c>
      <c r="F1616" s="114" t="s">
        <v>1713</v>
      </c>
      <c r="G1616" s="114" t="b">
        <v>0</v>
      </c>
      <c r="H1616" s="114" t="b">
        <v>0</v>
      </c>
      <c r="I1616" s="114" t="b">
        <v>0</v>
      </c>
      <c r="J1616" s="114" t="b">
        <v>0</v>
      </c>
      <c r="K1616" s="114" t="b">
        <v>0</v>
      </c>
      <c r="L1616" s="114" t="b">
        <v>0</v>
      </c>
    </row>
    <row r="1617" spans="1:12" ht="15">
      <c r="A1617" s="114" t="s">
        <v>2029</v>
      </c>
      <c r="B1617" s="114" t="s">
        <v>2030</v>
      </c>
      <c r="C1617" s="114">
        <v>4</v>
      </c>
      <c r="D1617" s="116">
        <v>0.004321298326652357</v>
      </c>
      <c r="E1617" s="116">
        <v>2.195207549502754</v>
      </c>
      <c r="F1617" s="114" t="s">
        <v>1713</v>
      </c>
      <c r="G1617" s="114" t="b">
        <v>0</v>
      </c>
      <c r="H1617" s="114" t="b">
        <v>0</v>
      </c>
      <c r="I1617" s="114" t="b">
        <v>0</v>
      </c>
      <c r="J1617" s="114" t="b">
        <v>0</v>
      </c>
      <c r="K1617" s="114" t="b">
        <v>0</v>
      </c>
      <c r="L1617" s="114" t="b">
        <v>0</v>
      </c>
    </row>
    <row r="1618" spans="1:12" ht="15">
      <c r="A1618" s="114" t="s">
        <v>2030</v>
      </c>
      <c r="B1618" s="114" t="s">
        <v>1954</v>
      </c>
      <c r="C1618" s="114">
        <v>4</v>
      </c>
      <c r="D1618" s="116">
        <v>0.004321298326652357</v>
      </c>
      <c r="E1618" s="116">
        <v>2.019116290447073</v>
      </c>
      <c r="F1618" s="114" t="s">
        <v>1713</v>
      </c>
      <c r="G1618" s="114" t="b">
        <v>0</v>
      </c>
      <c r="H1618" s="114" t="b">
        <v>0</v>
      </c>
      <c r="I1618" s="114" t="b">
        <v>0</v>
      </c>
      <c r="J1618" s="114" t="b">
        <v>0</v>
      </c>
      <c r="K1618" s="114" t="b">
        <v>0</v>
      </c>
      <c r="L1618" s="114" t="b">
        <v>0</v>
      </c>
    </row>
    <row r="1619" spans="1:12" ht="15">
      <c r="A1619" s="114" t="s">
        <v>1954</v>
      </c>
      <c r="B1619" s="114" t="s">
        <v>1866</v>
      </c>
      <c r="C1619" s="114">
        <v>4</v>
      </c>
      <c r="D1619" s="116">
        <v>0.004321298326652357</v>
      </c>
      <c r="E1619" s="116">
        <v>1.6211762817750353</v>
      </c>
      <c r="F1619" s="114" t="s">
        <v>1713</v>
      </c>
      <c r="G1619" s="114" t="b">
        <v>0</v>
      </c>
      <c r="H1619" s="114" t="b">
        <v>0</v>
      </c>
      <c r="I1619" s="114" t="b">
        <v>0</v>
      </c>
      <c r="J1619" s="114" t="b">
        <v>0</v>
      </c>
      <c r="K1619" s="114" t="b">
        <v>0</v>
      </c>
      <c r="L1619" s="114" t="b">
        <v>0</v>
      </c>
    </row>
    <row r="1620" spans="1:12" ht="15">
      <c r="A1620" s="114" t="s">
        <v>1866</v>
      </c>
      <c r="B1620" s="114" t="s">
        <v>2031</v>
      </c>
      <c r="C1620" s="114">
        <v>4</v>
      </c>
      <c r="D1620" s="116">
        <v>0.004321298326652357</v>
      </c>
      <c r="E1620" s="116">
        <v>1.7972675408307164</v>
      </c>
      <c r="F1620" s="114" t="s">
        <v>1713</v>
      </c>
      <c r="G1620" s="114" t="b">
        <v>0</v>
      </c>
      <c r="H1620" s="114" t="b">
        <v>0</v>
      </c>
      <c r="I1620" s="114" t="b">
        <v>0</v>
      </c>
      <c r="J1620" s="114" t="b">
        <v>0</v>
      </c>
      <c r="K1620" s="114" t="b">
        <v>0</v>
      </c>
      <c r="L1620" s="114" t="b">
        <v>0</v>
      </c>
    </row>
    <row r="1621" spans="1:12" ht="15">
      <c r="A1621" s="114" t="s">
        <v>2031</v>
      </c>
      <c r="B1621" s="114" t="s">
        <v>1779</v>
      </c>
      <c r="C1621" s="114">
        <v>4</v>
      </c>
      <c r="D1621" s="116">
        <v>0.004321298326652357</v>
      </c>
      <c r="E1621" s="116">
        <v>1.4548448600085102</v>
      </c>
      <c r="F1621" s="114" t="s">
        <v>1713</v>
      </c>
      <c r="G1621" s="114" t="b">
        <v>0</v>
      </c>
      <c r="H1621" s="114" t="b">
        <v>0</v>
      </c>
      <c r="I1621" s="114" t="b">
        <v>0</v>
      </c>
      <c r="J1621" s="114" t="b">
        <v>0</v>
      </c>
      <c r="K1621" s="114" t="b">
        <v>0</v>
      </c>
      <c r="L1621" s="114" t="b">
        <v>0</v>
      </c>
    </row>
    <row r="1622" spans="1:12" ht="15">
      <c r="A1622" s="114" t="s">
        <v>1779</v>
      </c>
      <c r="B1622" s="114" t="s">
        <v>1866</v>
      </c>
      <c r="C1622" s="114">
        <v>4</v>
      </c>
      <c r="D1622" s="116">
        <v>0.004321298326652357</v>
      </c>
      <c r="E1622" s="116">
        <v>1.0569048513364727</v>
      </c>
      <c r="F1622" s="114" t="s">
        <v>1713</v>
      </c>
      <c r="G1622" s="114" t="b">
        <v>0</v>
      </c>
      <c r="H1622" s="114" t="b">
        <v>0</v>
      </c>
      <c r="I1622" s="114" t="b">
        <v>0</v>
      </c>
      <c r="J1622" s="114" t="b">
        <v>0</v>
      </c>
      <c r="K1622" s="114" t="b">
        <v>0</v>
      </c>
      <c r="L1622" s="114" t="b">
        <v>0</v>
      </c>
    </row>
    <row r="1623" spans="1:12" ht="15">
      <c r="A1623" s="114" t="s">
        <v>1866</v>
      </c>
      <c r="B1623" s="114" t="s">
        <v>1779</v>
      </c>
      <c r="C1623" s="114">
        <v>4</v>
      </c>
      <c r="D1623" s="116">
        <v>0.004321298326652357</v>
      </c>
      <c r="E1623" s="116">
        <v>1.0569048513364727</v>
      </c>
      <c r="F1623" s="114" t="s">
        <v>1713</v>
      </c>
      <c r="G1623" s="114" t="b">
        <v>0</v>
      </c>
      <c r="H1623" s="114" t="b">
        <v>0</v>
      </c>
      <c r="I1623" s="114" t="b">
        <v>0</v>
      </c>
      <c r="J1623" s="114" t="b">
        <v>0</v>
      </c>
      <c r="K1623" s="114" t="b">
        <v>0</v>
      </c>
      <c r="L1623" s="114" t="b">
        <v>0</v>
      </c>
    </row>
    <row r="1624" spans="1:12" ht="15">
      <c r="A1624" s="114" t="s">
        <v>1755</v>
      </c>
      <c r="B1624" s="114" t="s">
        <v>2032</v>
      </c>
      <c r="C1624" s="114">
        <v>4</v>
      </c>
      <c r="D1624" s="116">
        <v>0.004321298326652357</v>
      </c>
      <c r="E1624" s="116">
        <v>1.8941775538387728</v>
      </c>
      <c r="F1624" s="114" t="s">
        <v>1713</v>
      </c>
      <c r="G1624" s="114" t="b">
        <v>0</v>
      </c>
      <c r="H1624" s="114" t="b">
        <v>0</v>
      </c>
      <c r="I1624" s="114" t="b">
        <v>0</v>
      </c>
      <c r="J1624" s="114" t="b">
        <v>0</v>
      </c>
      <c r="K1624" s="114" t="b">
        <v>0</v>
      </c>
      <c r="L1624" s="114" t="b">
        <v>0</v>
      </c>
    </row>
    <row r="1625" spans="1:12" ht="15">
      <c r="A1625" s="114" t="s">
        <v>2032</v>
      </c>
      <c r="B1625" s="114" t="s">
        <v>1955</v>
      </c>
      <c r="C1625" s="114">
        <v>4</v>
      </c>
      <c r="D1625" s="116">
        <v>0.004321298326652357</v>
      </c>
      <c r="E1625" s="116">
        <v>2.019116290447073</v>
      </c>
      <c r="F1625" s="114" t="s">
        <v>1713</v>
      </c>
      <c r="G1625" s="114" t="b">
        <v>0</v>
      </c>
      <c r="H1625" s="114" t="b">
        <v>0</v>
      </c>
      <c r="I1625" s="114" t="b">
        <v>0</v>
      </c>
      <c r="J1625" s="114" t="b">
        <v>0</v>
      </c>
      <c r="K1625" s="114" t="b">
        <v>0</v>
      </c>
      <c r="L1625" s="114" t="b">
        <v>0</v>
      </c>
    </row>
    <row r="1626" spans="1:12" ht="15">
      <c r="A1626" s="114" t="s">
        <v>1955</v>
      </c>
      <c r="B1626" s="114" t="s">
        <v>1779</v>
      </c>
      <c r="C1626" s="114">
        <v>4</v>
      </c>
      <c r="D1626" s="116">
        <v>0.004321298326652357</v>
      </c>
      <c r="E1626" s="116">
        <v>1.278753600952829</v>
      </c>
      <c r="F1626" s="114" t="s">
        <v>1713</v>
      </c>
      <c r="G1626" s="114" t="b">
        <v>0</v>
      </c>
      <c r="H1626" s="114" t="b">
        <v>0</v>
      </c>
      <c r="I1626" s="114" t="b">
        <v>0</v>
      </c>
      <c r="J1626" s="114" t="b">
        <v>0</v>
      </c>
      <c r="K1626" s="114" t="b">
        <v>0</v>
      </c>
      <c r="L1626" s="114" t="b">
        <v>0</v>
      </c>
    </row>
    <row r="1627" spans="1:12" ht="15">
      <c r="A1627" s="114" t="s">
        <v>1779</v>
      </c>
      <c r="B1627" s="114" t="s">
        <v>1847</v>
      </c>
      <c r="C1627" s="114">
        <v>4</v>
      </c>
      <c r="D1627" s="116">
        <v>0.004321298326652357</v>
      </c>
      <c r="E1627" s="116">
        <v>1.4548448600085102</v>
      </c>
      <c r="F1627" s="114" t="s">
        <v>1713</v>
      </c>
      <c r="G1627" s="114" t="b">
        <v>0</v>
      </c>
      <c r="H1627" s="114" t="b">
        <v>0</v>
      </c>
      <c r="I1627" s="114" t="b">
        <v>0</v>
      </c>
      <c r="J1627" s="114" t="b">
        <v>0</v>
      </c>
      <c r="K1627" s="114" t="b">
        <v>0</v>
      </c>
      <c r="L1627" s="114" t="b">
        <v>0</v>
      </c>
    </row>
    <row r="1628" spans="1:12" ht="15">
      <c r="A1628" s="114" t="s">
        <v>1847</v>
      </c>
      <c r="B1628" s="114" t="s">
        <v>1779</v>
      </c>
      <c r="C1628" s="114">
        <v>4</v>
      </c>
      <c r="D1628" s="116">
        <v>0.004321298326652357</v>
      </c>
      <c r="E1628" s="116">
        <v>1.4548448600085102</v>
      </c>
      <c r="F1628" s="114" t="s">
        <v>1713</v>
      </c>
      <c r="G1628" s="114" t="b">
        <v>0</v>
      </c>
      <c r="H1628" s="114" t="b">
        <v>0</v>
      </c>
      <c r="I1628" s="114" t="b">
        <v>0</v>
      </c>
      <c r="J1628" s="114" t="b">
        <v>0</v>
      </c>
      <c r="K1628" s="114" t="b">
        <v>0</v>
      </c>
      <c r="L1628" s="114" t="b">
        <v>0</v>
      </c>
    </row>
    <row r="1629" spans="1:12" ht="15">
      <c r="A1629" s="114" t="s">
        <v>1779</v>
      </c>
      <c r="B1629" s="114" t="s">
        <v>1888</v>
      </c>
      <c r="C1629" s="114">
        <v>4</v>
      </c>
      <c r="D1629" s="116">
        <v>0.004321298326652357</v>
      </c>
      <c r="E1629" s="116">
        <v>1.4548448600085102</v>
      </c>
      <c r="F1629" s="114" t="s">
        <v>1713</v>
      </c>
      <c r="G1629" s="114" t="b">
        <v>0</v>
      </c>
      <c r="H1629" s="114" t="b">
        <v>0</v>
      </c>
      <c r="I1629" s="114" t="b">
        <v>0</v>
      </c>
      <c r="J1629" s="114" t="b">
        <v>0</v>
      </c>
      <c r="K1629" s="114" t="b">
        <v>0</v>
      </c>
      <c r="L1629" s="114" t="b">
        <v>0</v>
      </c>
    </row>
    <row r="1630" spans="1:12" ht="15">
      <c r="A1630" s="114" t="s">
        <v>1740</v>
      </c>
      <c r="B1630" s="114" t="s">
        <v>1779</v>
      </c>
      <c r="C1630" s="114">
        <v>4</v>
      </c>
      <c r="D1630" s="116">
        <v>0.004321298326652357</v>
      </c>
      <c r="E1630" s="116">
        <v>0.5655431575022</v>
      </c>
      <c r="F1630" s="114" t="s">
        <v>1713</v>
      </c>
      <c r="G1630" s="114" t="b">
        <v>0</v>
      </c>
      <c r="H1630" s="114" t="b">
        <v>0</v>
      </c>
      <c r="I1630" s="114" t="b">
        <v>0</v>
      </c>
      <c r="J1630" s="114" t="b">
        <v>0</v>
      </c>
      <c r="K1630" s="114" t="b">
        <v>0</v>
      </c>
      <c r="L1630" s="114" t="b">
        <v>0</v>
      </c>
    </row>
    <row r="1631" spans="1:12" ht="15">
      <c r="A1631" s="114" t="s">
        <v>2116</v>
      </c>
      <c r="B1631" s="114" t="s">
        <v>2117</v>
      </c>
      <c r="C1631" s="114">
        <v>4</v>
      </c>
      <c r="D1631" s="116">
        <v>0.008043462106114257</v>
      </c>
      <c r="E1631" s="116">
        <v>2.195207549502754</v>
      </c>
      <c r="F1631" s="114" t="s">
        <v>1713</v>
      </c>
      <c r="G1631" s="114" t="b">
        <v>0</v>
      </c>
      <c r="H1631" s="114" t="b">
        <v>0</v>
      </c>
      <c r="I1631" s="114" t="b">
        <v>0</v>
      </c>
      <c r="J1631" s="114" t="b">
        <v>0</v>
      </c>
      <c r="K1631" s="114" t="b">
        <v>0</v>
      </c>
      <c r="L1631" s="114" t="b">
        <v>0</v>
      </c>
    </row>
    <row r="1632" spans="1:12" ht="15">
      <c r="A1632" s="114" t="s">
        <v>1925</v>
      </c>
      <c r="B1632" s="114" t="s">
        <v>1926</v>
      </c>
      <c r="C1632" s="114">
        <v>4</v>
      </c>
      <c r="D1632" s="116">
        <v>0.008043462106114257</v>
      </c>
      <c r="E1632" s="116">
        <v>2.195207549502754</v>
      </c>
      <c r="F1632" s="114" t="s">
        <v>1713</v>
      </c>
      <c r="G1632" s="114" t="b">
        <v>0</v>
      </c>
      <c r="H1632" s="114" t="b">
        <v>0</v>
      </c>
      <c r="I1632" s="114" t="b">
        <v>0</v>
      </c>
      <c r="J1632" s="114" t="b">
        <v>0</v>
      </c>
      <c r="K1632" s="114" t="b">
        <v>0</v>
      </c>
      <c r="L1632" s="114" t="b">
        <v>0</v>
      </c>
    </row>
    <row r="1633" spans="1:12" ht="15">
      <c r="A1633" s="114" t="s">
        <v>2113</v>
      </c>
      <c r="B1633" s="114" t="s">
        <v>2114</v>
      </c>
      <c r="C1633" s="114">
        <v>4</v>
      </c>
      <c r="D1633" s="116">
        <v>0.008043462106114257</v>
      </c>
      <c r="E1633" s="116">
        <v>2.195207549502754</v>
      </c>
      <c r="F1633" s="114" t="s">
        <v>1713</v>
      </c>
      <c r="G1633" s="114" t="b">
        <v>0</v>
      </c>
      <c r="H1633" s="114" t="b">
        <v>0</v>
      </c>
      <c r="I1633" s="114" t="b">
        <v>0</v>
      </c>
      <c r="J1633" s="114" t="b">
        <v>0</v>
      </c>
      <c r="K1633" s="114" t="b">
        <v>0</v>
      </c>
      <c r="L1633" s="114" t="b">
        <v>0</v>
      </c>
    </row>
    <row r="1634" spans="1:12" ht="15">
      <c r="A1634" s="114" t="s">
        <v>2110</v>
      </c>
      <c r="B1634" s="114" t="s">
        <v>1844</v>
      </c>
      <c r="C1634" s="114">
        <v>4</v>
      </c>
      <c r="D1634" s="116">
        <v>0.0061823802163833074</v>
      </c>
      <c r="E1634" s="116">
        <v>1.7180862947830917</v>
      </c>
      <c r="F1634" s="114" t="s">
        <v>1713</v>
      </c>
      <c r="G1634" s="114" t="b">
        <v>0</v>
      </c>
      <c r="H1634" s="114" t="b">
        <v>0</v>
      </c>
      <c r="I1634" s="114" t="b">
        <v>0</v>
      </c>
      <c r="J1634" s="114" t="b">
        <v>0</v>
      </c>
      <c r="K1634" s="114" t="b">
        <v>0</v>
      </c>
      <c r="L1634" s="114" t="b">
        <v>0</v>
      </c>
    </row>
    <row r="1635" spans="1:12" ht="15">
      <c r="A1635" s="114" t="s">
        <v>1749</v>
      </c>
      <c r="B1635" s="114" t="s">
        <v>2111</v>
      </c>
      <c r="C1635" s="114">
        <v>4</v>
      </c>
      <c r="D1635" s="116">
        <v>0.008043462106114257</v>
      </c>
      <c r="E1635" s="116">
        <v>1.7972675408307164</v>
      </c>
      <c r="F1635" s="114" t="s">
        <v>1713</v>
      </c>
      <c r="G1635" s="114" t="b">
        <v>0</v>
      </c>
      <c r="H1635" s="114" t="b">
        <v>0</v>
      </c>
      <c r="I1635" s="114" t="b">
        <v>0</v>
      </c>
      <c r="J1635" s="114" t="b">
        <v>0</v>
      </c>
      <c r="K1635" s="114" t="b">
        <v>0</v>
      </c>
      <c r="L1635" s="114" t="b">
        <v>0</v>
      </c>
    </row>
    <row r="1636" spans="1:12" ht="15">
      <c r="A1636" s="114" t="s">
        <v>1740</v>
      </c>
      <c r="B1636" s="114" t="s">
        <v>1766</v>
      </c>
      <c r="C1636" s="114">
        <v>3</v>
      </c>
      <c r="D1636" s="116">
        <v>0.003820287825089577</v>
      </c>
      <c r="E1636" s="116">
        <v>1.3059058469964437</v>
      </c>
      <c r="F1636" s="114" t="s">
        <v>1713</v>
      </c>
      <c r="G1636" s="114" t="b">
        <v>0</v>
      </c>
      <c r="H1636" s="114" t="b">
        <v>0</v>
      </c>
      <c r="I1636" s="114" t="b">
        <v>0</v>
      </c>
      <c r="J1636" s="114" t="b">
        <v>0</v>
      </c>
      <c r="K1636" s="114" t="b">
        <v>1</v>
      </c>
      <c r="L1636" s="114" t="b">
        <v>0</v>
      </c>
    </row>
    <row r="1637" spans="1:12" ht="15">
      <c r="A1637" s="114" t="s">
        <v>1766</v>
      </c>
      <c r="B1637" s="114" t="s">
        <v>1740</v>
      </c>
      <c r="C1637" s="114">
        <v>3</v>
      </c>
      <c r="D1637" s="116">
        <v>0.003820287825089577</v>
      </c>
      <c r="E1637" s="116">
        <v>1.3059058469964437</v>
      </c>
      <c r="F1637" s="114" t="s">
        <v>1713</v>
      </c>
      <c r="G1637" s="114" t="b">
        <v>0</v>
      </c>
      <c r="H1637" s="114" t="b">
        <v>1</v>
      </c>
      <c r="I1637" s="114" t="b">
        <v>0</v>
      </c>
      <c r="J1637" s="114" t="b">
        <v>0</v>
      </c>
      <c r="K1637" s="114" t="b">
        <v>0</v>
      </c>
      <c r="L1637" s="114" t="b">
        <v>0</v>
      </c>
    </row>
    <row r="1638" spans="1:12" ht="15">
      <c r="A1638" s="114" t="s">
        <v>1741</v>
      </c>
      <c r="B1638" s="114" t="s">
        <v>1743</v>
      </c>
      <c r="C1638" s="114">
        <v>3</v>
      </c>
      <c r="D1638" s="116">
        <v>0.003820287825089577</v>
      </c>
      <c r="E1638" s="116">
        <v>2.3201462861110542</v>
      </c>
      <c r="F1638" s="114" t="s">
        <v>1713</v>
      </c>
      <c r="G1638" s="114" t="b">
        <v>0</v>
      </c>
      <c r="H1638" s="114" t="b">
        <v>0</v>
      </c>
      <c r="I1638" s="114" t="b">
        <v>0</v>
      </c>
      <c r="J1638" s="114" t="b">
        <v>0</v>
      </c>
      <c r="K1638" s="114" t="b">
        <v>0</v>
      </c>
      <c r="L1638" s="114" t="b">
        <v>0</v>
      </c>
    </row>
    <row r="1639" spans="1:12" ht="15">
      <c r="A1639" s="114" t="s">
        <v>1952</v>
      </c>
      <c r="B1639" s="114" t="s">
        <v>1790</v>
      </c>
      <c r="C1639" s="114">
        <v>3</v>
      </c>
      <c r="D1639" s="116">
        <v>0.006032596579585693</v>
      </c>
      <c r="E1639" s="116">
        <v>1.8941775538387728</v>
      </c>
      <c r="F1639" s="114" t="s">
        <v>1713</v>
      </c>
      <c r="G1639" s="114" t="b">
        <v>0</v>
      </c>
      <c r="H1639" s="114" t="b">
        <v>0</v>
      </c>
      <c r="I1639" s="114" t="b">
        <v>0</v>
      </c>
      <c r="J1639" s="114" t="b">
        <v>0</v>
      </c>
      <c r="K1639" s="114" t="b">
        <v>0</v>
      </c>
      <c r="L1639" s="114" t="b">
        <v>0</v>
      </c>
    </row>
    <row r="1640" spans="1:12" ht="15">
      <c r="A1640" s="114" t="s">
        <v>1756</v>
      </c>
      <c r="B1640" s="114" t="s">
        <v>1877</v>
      </c>
      <c r="C1640" s="114">
        <v>3</v>
      </c>
      <c r="D1640" s="116">
        <v>0.003820287825089577</v>
      </c>
      <c r="E1640" s="116">
        <v>1.7180862947830917</v>
      </c>
      <c r="F1640" s="114" t="s">
        <v>1713</v>
      </c>
      <c r="G1640" s="114" t="b">
        <v>0</v>
      </c>
      <c r="H1640" s="114" t="b">
        <v>0</v>
      </c>
      <c r="I1640" s="114" t="b">
        <v>0</v>
      </c>
      <c r="J1640" s="114" t="b">
        <v>0</v>
      </c>
      <c r="K1640" s="114" t="b">
        <v>0</v>
      </c>
      <c r="L1640" s="114" t="b">
        <v>0</v>
      </c>
    </row>
    <row r="1641" spans="1:12" ht="15">
      <c r="A1641" s="114" t="s">
        <v>2262</v>
      </c>
      <c r="B1641" s="114" t="s">
        <v>2115</v>
      </c>
      <c r="C1641" s="114">
        <v>3</v>
      </c>
      <c r="D1641" s="116">
        <v>0.006032596579585693</v>
      </c>
      <c r="E1641" s="116">
        <v>2.195207549502754</v>
      </c>
      <c r="F1641" s="114" t="s">
        <v>1713</v>
      </c>
      <c r="G1641" s="114" t="b">
        <v>0</v>
      </c>
      <c r="H1641" s="114" t="b">
        <v>0</v>
      </c>
      <c r="I1641" s="114" t="b">
        <v>0</v>
      </c>
      <c r="J1641" s="114" t="b">
        <v>0</v>
      </c>
      <c r="K1641" s="114" t="b">
        <v>0</v>
      </c>
      <c r="L1641" s="114" t="b">
        <v>0</v>
      </c>
    </row>
    <row r="1642" spans="1:12" ht="15">
      <c r="A1642" s="114" t="s">
        <v>1929</v>
      </c>
      <c r="B1642" s="114" t="s">
        <v>1929</v>
      </c>
      <c r="C1642" s="114">
        <v>3</v>
      </c>
      <c r="D1642" s="116">
        <v>0.006032596579585693</v>
      </c>
      <c r="E1642" s="116">
        <v>1.4682088215664917</v>
      </c>
      <c r="F1642" s="114" t="s">
        <v>1713</v>
      </c>
      <c r="G1642" s="114" t="b">
        <v>0</v>
      </c>
      <c r="H1642" s="114" t="b">
        <v>1</v>
      </c>
      <c r="I1642" s="114" t="b">
        <v>0</v>
      </c>
      <c r="J1642" s="114" t="b">
        <v>0</v>
      </c>
      <c r="K1642" s="114" t="b">
        <v>1</v>
      </c>
      <c r="L1642" s="114" t="b">
        <v>0</v>
      </c>
    </row>
    <row r="1643" spans="1:12" ht="15">
      <c r="A1643" s="114" t="s">
        <v>2258</v>
      </c>
      <c r="B1643" s="114" t="s">
        <v>2259</v>
      </c>
      <c r="C1643" s="114">
        <v>3</v>
      </c>
      <c r="D1643" s="116">
        <v>0.006032596579585693</v>
      </c>
      <c r="E1643" s="116">
        <v>2.3201462861110542</v>
      </c>
      <c r="F1643" s="114" t="s">
        <v>1713</v>
      </c>
      <c r="G1643" s="114" t="b">
        <v>0</v>
      </c>
      <c r="H1643" s="114" t="b">
        <v>0</v>
      </c>
      <c r="I1643" s="114" t="b">
        <v>0</v>
      </c>
      <c r="J1643" s="114" t="b">
        <v>0</v>
      </c>
      <c r="K1643" s="114" t="b">
        <v>0</v>
      </c>
      <c r="L1643" s="114" t="b">
        <v>0</v>
      </c>
    </row>
    <row r="1644" spans="1:12" ht="15">
      <c r="A1644" s="114" t="s">
        <v>1740</v>
      </c>
      <c r="B1644" s="114" t="s">
        <v>1820</v>
      </c>
      <c r="C1644" s="114">
        <v>3</v>
      </c>
      <c r="D1644" s="116">
        <v>0.006032596579585693</v>
      </c>
      <c r="E1644" s="116">
        <v>0.9379290617018494</v>
      </c>
      <c r="F1644" s="114" t="s">
        <v>1713</v>
      </c>
      <c r="G1644" s="114" t="b">
        <v>0</v>
      </c>
      <c r="H1644" s="114" t="b">
        <v>0</v>
      </c>
      <c r="I1644" s="114" t="b">
        <v>0</v>
      </c>
      <c r="J1644" s="114" t="b">
        <v>0</v>
      </c>
      <c r="K1644" s="114" t="b">
        <v>0</v>
      </c>
      <c r="L1644" s="114" t="b">
        <v>0</v>
      </c>
    </row>
    <row r="1645" spans="1:12" ht="15">
      <c r="A1645" s="114" t="s">
        <v>2255</v>
      </c>
      <c r="B1645" s="114" t="s">
        <v>2023</v>
      </c>
      <c r="C1645" s="114">
        <v>3</v>
      </c>
      <c r="D1645" s="116">
        <v>0.006032596579585693</v>
      </c>
      <c r="E1645" s="116">
        <v>2.0982975364946976</v>
      </c>
      <c r="F1645" s="114" t="s">
        <v>1713</v>
      </c>
      <c r="G1645" s="114" t="b">
        <v>0</v>
      </c>
      <c r="H1645" s="114" t="b">
        <v>0</v>
      </c>
      <c r="I1645" s="114" t="b">
        <v>0</v>
      </c>
      <c r="J1645" s="114" t="b">
        <v>0</v>
      </c>
      <c r="K1645" s="114" t="b">
        <v>0</v>
      </c>
      <c r="L1645" s="114" t="b">
        <v>0</v>
      </c>
    </row>
    <row r="1646" spans="1:12" ht="15">
      <c r="A1646" s="114" t="s">
        <v>1740</v>
      </c>
      <c r="B1646" s="114" t="s">
        <v>2254</v>
      </c>
      <c r="C1646" s="114">
        <v>3</v>
      </c>
      <c r="D1646" s="116">
        <v>0.003820287825089577</v>
      </c>
      <c r="E1646" s="116">
        <v>1.3059058469964437</v>
      </c>
      <c r="F1646" s="114" t="s">
        <v>1713</v>
      </c>
      <c r="G1646" s="114" t="b">
        <v>0</v>
      </c>
      <c r="H1646" s="114" t="b">
        <v>0</v>
      </c>
      <c r="I1646" s="114" t="b">
        <v>0</v>
      </c>
      <c r="J1646" s="114" t="b">
        <v>0</v>
      </c>
      <c r="K1646" s="114" t="b">
        <v>0</v>
      </c>
      <c r="L1646" s="114" t="b">
        <v>0</v>
      </c>
    </row>
    <row r="1647" spans="1:12" ht="15">
      <c r="A1647" s="114" t="s">
        <v>1785</v>
      </c>
      <c r="B1647" s="114" t="s">
        <v>1789</v>
      </c>
      <c r="C1647" s="114">
        <v>2</v>
      </c>
      <c r="D1647" s="116">
        <v>0.0030911901081916537</v>
      </c>
      <c r="E1647" s="116">
        <v>2.3201462861110542</v>
      </c>
      <c r="F1647" s="114" t="s">
        <v>1713</v>
      </c>
      <c r="G1647" s="114" t="b">
        <v>0</v>
      </c>
      <c r="H1647" s="114" t="b">
        <v>0</v>
      </c>
      <c r="I1647" s="114" t="b">
        <v>0</v>
      </c>
      <c r="J1647" s="114" t="b">
        <v>0</v>
      </c>
      <c r="K1647" s="114" t="b">
        <v>0</v>
      </c>
      <c r="L1647" s="114" t="b">
        <v>0</v>
      </c>
    </row>
    <row r="1648" spans="1:12" ht="15">
      <c r="A1648" s="114" t="s">
        <v>2112</v>
      </c>
      <c r="B1648" s="114" t="s">
        <v>2010</v>
      </c>
      <c r="C1648" s="114">
        <v>2</v>
      </c>
      <c r="D1648" s="116">
        <v>0.0030911901081916537</v>
      </c>
      <c r="E1648" s="116">
        <v>1.8941775538387728</v>
      </c>
      <c r="F1648" s="114" t="s">
        <v>1713</v>
      </c>
      <c r="G1648" s="114" t="b">
        <v>0</v>
      </c>
      <c r="H1648" s="114" t="b">
        <v>0</v>
      </c>
      <c r="I1648" s="114" t="b">
        <v>0</v>
      </c>
      <c r="J1648" s="114" t="b">
        <v>0</v>
      </c>
      <c r="K1648" s="114" t="b">
        <v>0</v>
      </c>
      <c r="L1648" s="114" t="b">
        <v>0</v>
      </c>
    </row>
    <row r="1649" spans="1:12" ht="15">
      <c r="A1649" s="114" t="s">
        <v>2010</v>
      </c>
      <c r="B1649" s="114" t="s">
        <v>2112</v>
      </c>
      <c r="C1649" s="114">
        <v>2</v>
      </c>
      <c r="D1649" s="116">
        <v>0.0030911901081916537</v>
      </c>
      <c r="E1649" s="116">
        <v>2.195207549502754</v>
      </c>
      <c r="F1649" s="114" t="s">
        <v>1713</v>
      </c>
      <c r="G1649" s="114" t="b">
        <v>0</v>
      </c>
      <c r="H1649" s="114" t="b">
        <v>0</v>
      </c>
      <c r="I1649" s="114" t="b">
        <v>0</v>
      </c>
      <c r="J1649" s="114" t="b">
        <v>0</v>
      </c>
      <c r="K1649" s="114" t="b">
        <v>0</v>
      </c>
      <c r="L1649" s="114" t="b">
        <v>0</v>
      </c>
    </row>
    <row r="1650" spans="1:12" ht="15">
      <c r="A1650" s="114" t="s">
        <v>2112</v>
      </c>
      <c r="B1650" s="114" t="s">
        <v>2109</v>
      </c>
      <c r="C1650" s="114">
        <v>2</v>
      </c>
      <c r="D1650" s="116">
        <v>0.0030911901081916537</v>
      </c>
      <c r="E1650" s="116">
        <v>1.8941775538387728</v>
      </c>
      <c r="F1650" s="114" t="s">
        <v>1713</v>
      </c>
      <c r="G1650" s="114" t="b">
        <v>0</v>
      </c>
      <c r="H1650" s="114" t="b">
        <v>0</v>
      </c>
      <c r="I1650" s="114" t="b">
        <v>0</v>
      </c>
      <c r="J1650" s="114" t="b">
        <v>0</v>
      </c>
      <c r="K1650" s="114" t="b">
        <v>0</v>
      </c>
      <c r="L1650" s="114" t="b">
        <v>0</v>
      </c>
    </row>
    <row r="1651" spans="1:12" ht="15">
      <c r="A1651" s="114" t="s">
        <v>2109</v>
      </c>
      <c r="B1651" s="114" t="s">
        <v>1740</v>
      </c>
      <c r="C1651" s="114">
        <v>2</v>
      </c>
      <c r="D1651" s="116">
        <v>0.0030911901081916537</v>
      </c>
      <c r="E1651" s="116">
        <v>1.0048758513324627</v>
      </c>
      <c r="F1651" s="114" t="s">
        <v>1713</v>
      </c>
      <c r="G1651" s="114" t="b">
        <v>0</v>
      </c>
      <c r="H1651" s="114" t="b">
        <v>0</v>
      </c>
      <c r="I1651" s="114" t="b">
        <v>0</v>
      </c>
      <c r="J1651" s="114" t="b">
        <v>0</v>
      </c>
      <c r="K1651" s="114" t="b">
        <v>0</v>
      </c>
      <c r="L1651" s="114" t="b">
        <v>0</v>
      </c>
    </row>
    <row r="1652" spans="1:12" ht="15">
      <c r="A1652" s="114" t="s">
        <v>1740</v>
      </c>
      <c r="B1652" s="114" t="s">
        <v>2039</v>
      </c>
      <c r="C1652" s="114">
        <v>2</v>
      </c>
      <c r="D1652" s="116">
        <v>0.0030911901081916537</v>
      </c>
      <c r="E1652" s="116">
        <v>1.3059058469964437</v>
      </c>
      <c r="F1652" s="114" t="s">
        <v>1713</v>
      </c>
      <c r="G1652" s="114" t="b">
        <v>0</v>
      </c>
      <c r="H1652" s="114" t="b">
        <v>0</v>
      </c>
      <c r="I1652" s="114" t="b">
        <v>0</v>
      </c>
      <c r="J1652" s="114" t="b">
        <v>0</v>
      </c>
      <c r="K1652" s="114" t="b">
        <v>0</v>
      </c>
      <c r="L1652" s="114" t="b">
        <v>0</v>
      </c>
    </row>
    <row r="1653" spans="1:12" ht="15">
      <c r="A1653" s="114" t="s">
        <v>2039</v>
      </c>
      <c r="B1653" s="114" t="s">
        <v>1740</v>
      </c>
      <c r="C1653" s="114">
        <v>2</v>
      </c>
      <c r="D1653" s="116">
        <v>0.0030911901081916537</v>
      </c>
      <c r="E1653" s="116">
        <v>1.3059058469964437</v>
      </c>
      <c r="F1653" s="114" t="s">
        <v>1713</v>
      </c>
      <c r="G1653" s="114" t="b">
        <v>0</v>
      </c>
      <c r="H1653" s="114" t="b">
        <v>0</v>
      </c>
      <c r="I1653" s="114" t="b">
        <v>0</v>
      </c>
      <c r="J1653" s="114" t="b">
        <v>0</v>
      </c>
      <c r="K1653" s="114" t="b">
        <v>0</v>
      </c>
      <c r="L1653" s="114" t="b">
        <v>0</v>
      </c>
    </row>
    <row r="1654" spans="1:12" ht="15">
      <c r="A1654" s="114" t="s">
        <v>1779</v>
      </c>
      <c r="B1654" s="114" t="s">
        <v>1790</v>
      </c>
      <c r="C1654" s="114">
        <v>2</v>
      </c>
      <c r="D1654" s="116">
        <v>0.0030911901081916537</v>
      </c>
      <c r="E1654" s="116">
        <v>0.9777236052888478</v>
      </c>
      <c r="F1654" s="114" t="s">
        <v>1713</v>
      </c>
      <c r="G1654" s="114" t="b">
        <v>0</v>
      </c>
      <c r="H1654" s="114" t="b">
        <v>0</v>
      </c>
      <c r="I1654" s="114" t="b">
        <v>0</v>
      </c>
      <c r="J1654" s="114" t="b">
        <v>0</v>
      </c>
      <c r="K1654" s="114" t="b">
        <v>0</v>
      </c>
      <c r="L1654" s="114" t="b">
        <v>0</v>
      </c>
    </row>
    <row r="1655" spans="1:12" ht="15">
      <c r="A1655" s="114" t="s">
        <v>1790</v>
      </c>
      <c r="B1655" s="114" t="s">
        <v>1741</v>
      </c>
      <c r="C1655" s="114">
        <v>2</v>
      </c>
      <c r="D1655" s="116">
        <v>0.0030911901081916537</v>
      </c>
      <c r="E1655" s="116">
        <v>1.8430250313913916</v>
      </c>
      <c r="F1655" s="114" t="s">
        <v>1713</v>
      </c>
      <c r="G1655" s="114" t="b">
        <v>0</v>
      </c>
      <c r="H1655" s="114" t="b">
        <v>0</v>
      </c>
      <c r="I1655" s="114" t="b">
        <v>0</v>
      </c>
      <c r="J1655" s="114" t="b">
        <v>0</v>
      </c>
      <c r="K1655" s="114" t="b">
        <v>0</v>
      </c>
      <c r="L1655" s="114" t="b">
        <v>0</v>
      </c>
    </row>
    <row r="1656" spans="1:12" ht="15">
      <c r="A1656" s="114" t="s">
        <v>1743</v>
      </c>
      <c r="B1656" s="114" t="s">
        <v>1748</v>
      </c>
      <c r="C1656" s="114">
        <v>2</v>
      </c>
      <c r="D1656" s="116">
        <v>0.0030911901081916537</v>
      </c>
      <c r="E1656" s="116">
        <v>2.3201462861110542</v>
      </c>
      <c r="F1656" s="114" t="s">
        <v>1713</v>
      </c>
      <c r="G1656" s="114" t="b">
        <v>0</v>
      </c>
      <c r="H1656" s="114" t="b">
        <v>0</v>
      </c>
      <c r="I1656" s="114" t="b">
        <v>0</v>
      </c>
      <c r="J1656" s="114" t="b">
        <v>0</v>
      </c>
      <c r="K1656" s="114" t="b">
        <v>0</v>
      </c>
      <c r="L1656" s="114" t="b">
        <v>0</v>
      </c>
    </row>
    <row r="1657" spans="1:12" ht="15">
      <c r="A1657" s="114" t="s">
        <v>1790</v>
      </c>
      <c r="B1657" s="114" t="s">
        <v>1756</v>
      </c>
      <c r="C1657" s="114">
        <v>2</v>
      </c>
      <c r="D1657" s="116">
        <v>0.004021731053057129</v>
      </c>
      <c r="E1657" s="116">
        <v>1.2409650400634291</v>
      </c>
      <c r="F1657" s="114" t="s">
        <v>1713</v>
      </c>
      <c r="G1657" s="114" t="b">
        <v>0</v>
      </c>
      <c r="H1657" s="114" t="b">
        <v>0</v>
      </c>
      <c r="I1657" s="114" t="b">
        <v>0</v>
      </c>
      <c r="J1657" s="114" t="b">
        <v>0</v>
      </c>
      <c r="K1657" s="114" t="b">
        <v>0</v>
      </c>
      <c r="L1657" s="114" t="b">
        <v>0</v>
      </c>
    </row>
    <row r="1658" spans="1:12" ht="15">
      <c r="A1658" s="114" t="s">
        <v>1756</v>
      </c>
      <c r="B1658" s="114" t="s">
        <v>1952</v>
      </c>
      <c r="C1658" s="114">
        <v>2</v>
      </c>
      <c r="D1658" s="116">
        <v>0.004021731053057129</v>
      </c>
      <c r="E1658" s="116">
        <v>1.5419950357274104</v>
      </c>
      <c r="F1658" s="114" t="s">
        <v>1713</v>
      </c>
      <c r="G1658" s="114" t="b">
        <v>0</v>
      </c>
      <c r="H1658" s="114" t="b">
        <v>0</v>
      </c>
      <c r="I1658" s="114" t="b">
        <v>0</v>
      </c>
      <c r="J1658" s="114" t="b">
        <v>0</v>
      </c>
      <c r="K1658" s="114" t="b">
        <v>0</v>
      </c>
      <c r="L1658" s="114" t="b">
        <v>0</v>
      </c>
    </row>
    <row r="1659" spans="1:12" ht="15">
      <c r="A1659" s="114" t="s">
        <v>1947</v>
      </c>
      <c r="B1659" s="114" t="s">
        <v>1756</v>
      </c>
      <c r="C1659" s="114">
        <v>2</v>
      </c>
      <c r="D1659" s="116">
        <v>0.004021731053057129</v>
      </c>
      <c r="E1659" s="116">
        <v>1.5419950357274104</v>
      </c>
      <c r="F1659" s="114" t="s">
        <v>1713</v>
      </c>
      <c r="G1659" s="114" t="b">
        <v>0</v>
      </c>
      <c r="H1659" s="114" t="b">
        <v>0</v>
      </c>
      <c r="I1659" s="114" t="b">
        <v>0</v>
      </c>
      <c r="J1659" s="114" t="b">
        <v>0</v>
      </c>
      <c r="K1659" s="114" t="b">
        <v>0</v>
      </c>
      <c r="L1659" s="114" t="b">
        <v>0</v>
      </c>
    </row>
    <row r="1660" spans="1:12" ht="15">
      <c r="A1660" s="114" t="s">
        <v>1756</v>
      </c>
      <c r="B1660" s="114" t="s">
        <v>2537</v>
      </c>
      <c r="C1660" s="114">
        <v>2</v>
      </c>
      <c r="D1660" s="116">
        <v>0.004021731053057129</v>
      </c>
      <c r="E1660" s="116">
        <v>1.7180862947830917</v>
      </c>
      <c r="F1660" s="114" t="s">
        <v>1713</v>
      </c>
      <c r="G1660" s="114" t="b">
        <v>0</v>
      </c>
      <c r="H1660" s="114" t="b">
        <v>0</v>
      </c>
      <c r="I1660" s="114" t="b">
        <v>0</v>
      </c>
      <c r="J1660" s="114" t="b">
        <v>0</v>
      </c>
      <c r="K1660" s="114" t="b">
        <v>0</v>
      </c>
      <c r="L1660" s="114" t="b">
        <v>0</v>
      </c>
    </row>
    <row r="1661" spans="1:12" ht="15">
      <c r="A1661" s="114" t="s">
        <v>2537</v>
      </c>
      <c r="B1661" s="114" t="s">
        <v>1947</v>
      </c>
      <c r="C1661" s="114">
        <v>2</v>
      </c>
      <c r="D1661" s="116">
        <v>0.004021731053057129</v>
      </c>
      <c r="E1661" s="116">
        <v>2.3201462861110542</v>
      </c>
      <c r="F1661" s="114" t="s">
        <v>1713</v>
      </c>
      <c r="G1661" s="114" t="b">
        <v>0</v>
      </c>
      <c r="H1661" s="114" t="b">
        <v>0</v>
      </c>
      <c r="I1661" s="114" t="b">
        <v>0</v>
      </c>
      <c r="J1661" s="114" t="b">
        <v>0</v>
      </c>
      <c r="K1661" s="114" t="b">
        <v>0</v>
      </c>
      <c r="L1661" s="114" t="b">
        <v>0</v>
      </c>
    </row>
    <row r="1662" spans="1:12" ht="15">
      <c r="A1662" s="114" t="s">
        <v>1926</v>
      </c>
      <c r="B1662" s="114" t="s">
        <v>1827</v>
      </c>
      <c r="C1662" s="114">
        <v>2</v>
      </c>
      <c r="D1662" s="116">
        <v>0.004021731053057129</v>
      </c>
      <c r="E1662" s="116">
        <v>2.019116290447073</v>
      </c>
      <c r="F1662" s="114" t="s">
        <v>1713</v>
      </c>
      <c r="G1662" s="114" t="b">
        <v>0</v>
      </c>
      <c r="H1662" s="114" t="b">
        <v>0</v>
      </c>
      <c r="I1662" s="114" t="b">
        <v>0</v>
      </c>
      <c r="J1662" s="114" t="b">
        <v>0</v>
      </c>
      <c r="K1662" s="114" t="b">
        <v>0</v>
      </c>
      <c r="L1662" s="114" t="b">
        <v>0</v>
      </c>
    </row>
    <row r="1663" spans="1:12" ht="15">
      <c r="A1663" s="114" t="s">
        <v>1740</v>
      </c>
      <c r="B1663" s="114" t="s">
        <v>1740</v>
      </c>
      <c r="C1663" s="114">
        <v>2</v>
      </c>
      <c r="D1663" s="116">
        <v>0.004021731053057129</v>
      </c>
      <c r="E1663" s="116">
        <v>0.11557414882615233</v>
      </c>
      <c r="F1663" s="114" t="s">
        <v>1713</v>
      </c>
      <c r="G1663" s="114" t="b">
        <v>0</v>
      </c>
      <c r="H1663" s="114" t="b">
        <v>0</v>
      </c>
      <c r="I1663" s="114" t="b">
        <v>0</v>
      </c>
      <c r="J1663" s="114" t="b">
        <v>0</v>
      </c>
      <c r="K1663" s="114" t="b">
        <v>0</v>
      </c>
      <c r="L1663" s="114" t="b">
        <v>0</v>
      </c>
    </row>
    <row r="1664" spans="1:12" ht="15">
      <c r="A1664" s="114" t="s">
        <v>1740</v>
      </c>
      <c r="B1664" s="114" t="s">
        <v>1755</v>
      </c>
      <c r="C1664" s="114">
        <v>2</v>
      </c>
      <c r="D1664" s="116">
        <v>0.0030911901081916537</v>
      </c>
      <c r="E1664" s="116">
        <v>0.7038458556684815</v>
      </c>
      <c r="F1664" s="114" t="s">
        <v>1713</v>
      </c>
      <c r="G1664" s="114" t="b">
        <v>0</v>
      </c>
      <c r="H1664" s="114" t="b">
        <v>0</v>
      </c>
      <c r="I1664" s="114" t="b">
        <v>0</v>
      </c>
      <c r="J1664" s="114" t="b">
        <v>0</v>
      </c>
      <c r="K1664" s="114" t="b">
        <v>0</v>
      </c>
      <c r="L1664" s="114" t="b">
        <v>0</v>
      </c>
    </row>
    <row r="1665" spans="1:12" ht="15">
      <c r="A1665" s="114" t="s">
        <v>1745</v>
      </c>
      <c r="B1665" s="114" t="s">
        <v>1745</v>
      </c>
      <c r="C1665" s="114">
        <v>2</v>
      </c>
      <c r="D1665" s="116">
        <v>0.004021731053057129</v>
      </c>
      <c r="E1665" s="116">
        <v>1.0982975364946976</v>
      </c>
      <c r="F1665" s="114" t="s">
        <v>1713</v>
      </c>
      <c r="G1665" s="114" t="b">
        <v>0</v>
      </c>
      <c r="H1665" s="114" t="b">
        <v>0</v>
      </c>
      <c r="I1665" s="114" t="b">
        <v>0</v>
      </c>
      <c r="J1665" s="114" t="b">
        <v>0</v>
      </c>
      <c r="K1665" s="114" t="b">
        <v>0</v>
      </c>
      <c r="L1665" s="114" t="b">
        <v>0</v>
      </c>
    </row>
    <row r="1666" spans="1:12" ht="15">
      <c r="A1666" s="114" t="s">
        <v>1745</v>
      </c>
      <c r="B1666" s="114" t="s">
        <v>2011</v>
      </c>
      <c r="C1666" s="114">
        <v>2</v>
      </c>
      <c r="D1666" s="116">
        <v>0.004021731053057129</v>
      </c>
      <c r="E1666" s="116">
        <v>1.7972675408307164</v>
      </c>
      <c r="F1666" s="114" t="s">
        <v>1713</v>
      </c>
      <c r="G1666" s="114" t="b">
        <v>0</v>
      </c>
      <c r="H1666" s="114" t="b">
        <v>0</v>
      </c>
      <c r="I1666" s="114" t="b">
        <v>0</v>
      </c>
      <c r="J1666" s="114" t="b">
        <v>0</v>
      </c>
      <c r="K1666" s="114" t="b">
        <v>0</v>
      </c>
      <c r="L1666" s="114" t="b">
        <v>0</v>
      </c>
    </row>
    <row r="1667" spans="1:12" ht="15">
      <c r="A1667" s="114" t="s">
        <v>1944</v>
      </c>
      <c r="B1667" s="114" t="s">
        <v>1879</v>
      </c>
      <c r="C1667" s="114">
        <v>2</v>
      </c>
      <c r="D1667" s="116">
        <v>0.004021731053057129</v>
      </c>
      <c r="E1667" s="116">
        <v>2.496237545166735</v>
      </c>
      <c r="F1667" s="114" t="s">
        <v>1713</v>
      </c>
      <c r="G1667" s="114" t="b">
        <v>0</v>
      </c>
      <c r="H1667" s="114" t="b">
        <v>0</v>
      </c>
      <c r="I1667" s="114" t="b">
        <v>0</v>
      </c>
      <c r="J1667" s="114" t="b">
        <v>0</v>
      </c>
      <c r="K1667" s="114" t="b">
        <v>0</v>
      </c>
      <c r="L1667" s="114" t="b">
        <v>0</v>
      </c>
    </row>
    <row r="1668" spans="1:12" ht="15">
      <c r="A1668" s="114" t="s">
        <v>2534</v>
      </c>
      <c r="B1668" s="114" t="s">
        <v>2535</v>
      </c>
      <c r="C1668" s="114">
        <v>2</v>
      </c>
      <c r="D1668" s="116">
        <v>0.004021731053057129</v>
      </c>
      <c r="E1668" s="116">
        <v>2.496237545166735</v>
      </c>
      <c r="F1668" s="114" t="s">
        <v>1713</v>
      </c>
      <c r="G1668" s="114" t="b">
        <v>0</v>
      </c>
      <c r="H1668" s="114" t="b">
        <v>0</v>
      </c>
      <c r="I1668" s="114" t="b">
        <v>0</v>
      </c>
      <c r="J1668" s="114" t="b">
        <v>0</v>
      </c>
      <c r="K1668" s="114" t="b">
        <v>0</v>
      </c>
      <c r="L1668" s="114" t="b">
        <v>0</v>
      </c>
    </row>
    <row r="1669" spans="1:12" ht="15">
      <c r="A1669" s="114" t="s">
        <v>1884</v>
      </c>
      <c r="B1669" s="114" t="s">
        <v>1884</v>
      </c>
      <c r="C1669" s="114">
        <v>2</v>
      </c>
      <c r="D1669" s="116">
        <v>0.004021731053057129</v>
      </c>
      <c r="E1669" s="116">
        <v>1.1440550270553729</v>
      </c>
      <c r="F1669" s="114" t="s">
        <v>1713</v>
      </c>
      <c r="G1669" s="114" t="b">
        <v>0</v>
      </c>
      <c r="H1669" s="114" t="b">
        <v>0</v>
      </c>
      <c r="I1669" s="114" t="b">
        <v>0</v>
      </c>
      <c r="J1669" s="114" t="b">
        <v>0</v>
      </c>
      <c r="K1669" s="114" t="b">
        <v>0</v>
      </c>
      <c r="L1669" s="114" t="b">
        <v>0</v>
      </c>
    </row>
    <row r="1670" spans="1:12" ht="15">
      <c r="A1670" s="114" t="s">
        <v>1740</v>
      </c>
      <c r="B1670" s="114" t="s">
        <v>1884</v>
      </c>
      <c r="C1670" s="114">
        <v>2</v>
      </c>
      <c r="D1670" s="116">
        <v>0.004021731053057129</v>
      </c>
      <c r="E1670" s="116">
        <v>0.6526933332211001</v>
      </c>
      <c r="F1670" s="114" t="s">
        <v>1713</v>
      </c>
      <c r="G1670" s="114" t="b">
        <v>0</v>
      </c>
      <c r="H1670" s="114" t="b">
        <v>0</v>
      </c>
      <c r="I1670" s="114" t="b">
        <v>0</v>
      </c>
      <c r="J1670" s="114" t="b">
        <v>0</v>
      </c>
      <c r="K1670" s="114" t="b">
        <v>0</v>
      </c>
      <c r="L1670" s="114" t="b">
        <v>0</v>
      </c>
    </row>
    <row r="1671" spans="1:12" ht="15">
      <c r="A1671" s="114" t="s">
        <v>1884</v>
      </c>
      <c r="B1671" s="114" t="s">
        <v>2532</v>
      </c>
      <c r="C1671" s="114">
        <v>2</v>
      </c>
      <c r="D1671" s="116">
        <v>0.004021731053057129</v>
      </c>
      <c r="E1671" s="116">
        <v>1.7972675408307164</v>
      </c>
      <c r="F1671" s="114" t="s">
        <v>1713</v>
      </c>
      <c r="G1671" s="114" t="b">
        <v>0</v>
      </c>
      <c r="H1671" s="114" t="b">
        <v>0</v>
      </c>
      <c r="I1671" s="114" t="b">
        <v>0</v>
      </c>
      <c r="J1671" s="114" t="b">
        <v>0</v>
      </c>
      <c r="K1671" s="114" t="b">
        <v>0</v>
      </c>
      <c r="L1671" s="114" t="b">
        <v>0</v>
      </c>
    </row>
    <row r="1672" spans="1:12" ht="15">
      <c r="A1672" s="114" t="s">
        <v>2114</v>
      </c>
      <c r="B1672" s="114" t="s">
        <v>1884</v>
      </c>
      <c r="C1672" s="114">
        <v>2</v>
      </c>
      <c r="D1672" s="116">
        <v>0.004021731053057129</v>
      </c>
      <c r="E1672" s="116">
        <v>1.5419950357274104</v>
      </c>
      <c r="F1672" s="114" t="s">
        <v>1713</v>
      </c>
      <c r="G1672" s="114" t="b">
        <v>0</v>
      </c>
      <c r="H1672" s="114" t="b">
        <v>0</v>
      </c>
      <c r="I1672" s="114" t="b">
        <v>0</v>
      </c>
      <c r="J1672" s="114" t="b">
        <v>0</v>
      </c>
      <c r="K1672" s="114" t="b">
        <v>0</v>
      </c>
      <c r="L1672" s="114" t="b">
        <v>0</v>
      </c>
    </row>
    <row r="1673" spans="1:12" ht="15">
      <c r="A1673" s="114" t="s">
        <v>1882</v>
      </c>
      <c r="B1673" s="114" t="s">
        <v>1882</v>
      </c>
      <c r="C1673" s="114">
        <v>2</v>
      </c>
      <c r="D1673" s="116">
        <v>0.004021731053057129</v>
      </c>
      <c r="E1673" s="116">
        <v>1.7003575278226601</v>
      </c>
      <c r="F1673" s="114" t="s">
        <v>1713</v>
      </c>
      <c r="G1673" s="114" t="b">
        <v>0</v>
      </c>
      <c r="H1673" s="114" t="b">
        <v>0</v>
      </c>
      <c r="I1673" s="114" t="b">
        <v>0</v>
      </c>
      <c r="J1673" s="114" t="b">
        <v>0</v>
      </c>
      <c r="K1673" s="114" t="b">
        <v>0</v>
      </c>
      <c r="L1673" s="114" t="b">
        <v>0</v>
      </c>
    </row>
    <row r="1674" spans="1:12" ht="15">
      <c r="A1674" s="114" t="s">
        <v>2096</v>
      </c>
      <c r="B1674" s="114" t="s">
        <v>2017</v>
      </c>
      <c r="C1674" s="114">
        <v>2</v>
      </c>
      <c r="D1674" s="116">
        <v>0.004021731053057129</v>
      </c>
      <c r="E1674" s="116">
        <v>2.496237545166735</v>
      </c>
      <c r="F1674" s="114" t="s">
        <v>1713</v>
      </c>
      <c r="G1674" s="114" t="b">
        <v>1</v>
      </c>
      <c r="H1674" s="114" t="b">
        <v>0</v>
      </c>
      <c r="I1674" s="114" t="b">
        <v>0</v>
      </c>
      <c r="J1674" s="114" t="b">
        <v>0</v>
      </c>
      <c r="K1674" s="114" t="b">
        <v>0</v>
      </c>
      <c r="L1674" s="114" t="b">
        <v>0</v>
      </c>
    </row>
    <row r="1675" spans="1:12" ht="15">
      <c r="A1675" s="114" t="s">
        <v>1844</v>
      </c>
      <c r="B1675" s="114" t="s">
        <v>2110</v>
      </c>
      <c r="C1675" s="114">
        <v>2</v>
      </c>
      <c r="D1675" s="116">
        <v>0.0030911901081916537</v>
      </c>
      <c r="E1675" s="116">
        <v>1.7180862947830917</v>
      </c>
      <c r="F1675" s="114" t="s">
        <v>1713</v>
      </c>
      <c r="G1675" s="114" t="b">
        <v>0</v>
      </c>
      <c r="H1675" s="114" t="b">
        <v>0</v>
      </c>
      <c r="I1675" s="114" t="b">
        <v>0</v>
      </c>
      <c r="J1675" s="114" t="b">
        <v>0</v>
      </c>
      <c r="K1675" s="114" t="b">
        <v>0</v>
      </c>
      <c r="L1675" s="114" t="b">
        <v>0</v>
      </c>
    </row>
    <row r="1676" spans="1:12" ht="15">
      <c r="A1676" s="114" t="s">
        <v>1844</v>
      </c>
      <c r="B1676" s="114" t="s">
        <v>1740</v>
      </c>
      <c r="C1676" s="114">
        <v>2</v>
      </c>
      <c r="D1676" s="116">
        <v>0.0030911901081916537</v>
      </c>
      <c r="E1676" s="116">
        <v>0.5277545966128002</v>
      </c>
      <c r="F1676" s="114" t="s">
        <v>1713</v>
      </c>
      <c r="G1676" s="114" t="b">
        <v>0</v>
      </c>
      <c r="H1676" s="114" t="b">
        <v>0</v>
      </c>
      <c r="I1676" s="114" t="b">
        <v>0</v>
      </c>
      <c r="J1676" s="114" t="b">
        <v>0</v>
      </c>
      <c r="K1676" s="114" t="b">
        <v>0</v>
      </c>
      <c r="L1676" s="114" t="b">
        <v>0</v>
      </c>
    </row>
    <row r="1677" spans="1:12" ht="15">
      <c r="A1677" s="114" t="s">
        <v>2254</v>
      </c>
      <c r="B1677" s="114" t="s">
        <v>1779</v>
      </c>
      <c r="C1677" s="114">
        <v>2</v>
      </c>
      <c r="D1677" s="116">
        <v>0.0030911901081916537</v>
      </c>
      <c r="E1677" s="116">
        <v>1.4548448600085102</v>
      </c>
      <c r="F1677" s="114" t="s">
        <v>1713</v>
      </c>
      <c r="G1677" s="114" t="b">
        <v>0</v>
      </c>
      <c r="H1677" s="114" t="b">
        <v>0</v>
      </c>
      <c r="I1677" s="114" t="b">
        <v>0</v>
      </c>
      <c r="J1677" s="114" t="b">
        <v>0</v>
      </c>
      <c r="K1677" s="114" t="b">
        <v>0</v>
      </c>
      <c r="L1677" s="114" t="b">
        <v>0</v>
      </c>
    </row>
    <row r="1678" spans="1:12" ht="15">
      <c r="A1678" s="114" t="s">
        <v>1779</v>
      </c>
      <c r="B1678" s="114" t="s">
        <v>1740</v>
      </c>
      <c r="C1678" s="114">
        <v>2</v>
      </c>
      <c r="D1678" s="116">
        <v>0.0030911901081916537</v>
      </c>
      <c r="E1678" s="116">
        <v>0.26451316183821877</v>
      </c>
      <c r="F1678" s="114" t="s">
        <v>1713</v>
      </c>
      <c r="G1678" s="114" t="b">
        <v>0</v>
      </c>
      <c r="H1678" s="114" t="b">
        <v>0</v>
      </c>
      <c r="I1678" s="114" t="b">
        <v>0</v>
      </c>
      <c r="J1678" s="114" t="b">
        <v>0</v>
      </c>
      <c r="K1678" s="114" t="b">
        <v>0</v>
      </c>
      <c r="L1678" s="114" t="b">
        <v>0</v>
      </c>
    </row>
    <row r="1679" spans="1:12" ht="15">
      <c r="A1679" s="114" t="s">
        <v>1755</v>
      </c>
      <c r="B1679" s="114" t="s">
        <v>1955</v>
      </c>
      <c r="C1679" s="114">
        <v>2</v>
      </c>
      <c r="D1679" s="116">
        <v>0.0030911901081916537</v>
      </c>
      <c r="E1679" s="116">
        <v>1.4170562991191105</v>
      </c>
      <c r="F1679" s="114" t="s">
        <v>1713</v>
      </c>
      <c r="G1679" s="114" t="b">
        <v>0</v>
      </c>
      <c r="H1679" s="114" t="b">
        <v>0</v>
      </c>
      <c r="I1679" s="114" t="b">
        <v>0</v>
      </c>
      <c r="J1679" s="114" t="b">
        <v>0</v>
      </c>
      <c r="K1679" s="114" t="b">
        <v>0</v>
      </c>
      <c r="L1679" s="114" t="b">
        <v>0</v>
      </c>
    </row>
    <row r="1680" spans="1:12" ht="15">
      <c r="A1680" s="114" t="s">
        <v>1955</v>
      </c>
      <c r="B1680" s="114" t="s">
        <v>1844</v>
      </c>
      <c r="C1680" s="114">
        <v>2</v>
      </c>
      <c r="D1680" s="116">
        <v>0.0030911901081916537</v>
      </c>
      <c r="E1680" s="116">
        <v>1.2409650400634291</v>
      </c>
      <c r="F1680" s="114" t="s">
        <v>1713</v>
      </c>
      <c r="G1680" s="114" t="b">
        <v>0</v>
      </c>
      <c r="H1680" s="114" t="b">
        <v>0</v>
      </c>
      <c r="I1680" s="114" t="b">
        <v>0</v>
      </c>
      <c r="J1680" s="114" t="b">
        <v>0</v>
      </c>
      <c r="K1680" s="114" t="b">
        <v>0</v>
      </c>
      <c r="L1680" s="114" t="b">
        <v>0</v>
      </c>
    </row>
    <row r="1681" spans="1:12" ht="15">
      <c r="A1681" s="114" t="s">
        <v>1844</v>
      </c>
      <c r="B1681" s="114" t="s">
        <v>2233</v>
      </c>
      <c r="C1681" s="114">
        <v>2</v>
      </c>
      <c r="D1681" s="116">
        <v>0.0030911901081916537</v>
      </c>
      <c r="E1681" s="116">
        <v>1.7180862947830917</v>
      </c>
      <c r="F1681" s="114" t="s">
        <v>1713</v>
      </c>
      <c r="G1681" s="114" t="b">
        <v>0</v>
      </c>
      <c r="H1681" s="114" t="b">
        <v>0</v>
      </c>
      <c r="I1681" s="114" t="b">
        <v>0</v>
      </c>
      <c r="J1681" s="114" t="b">
        <v>0</v>
      </c>
      <c r="K1681" s="114" t="b">
        <v>0</v>
      </c>
      <c r="L1681" s="114" t="b">
        <v>0</v>
      </c>
    </row>
    <row r="1682" spans="1:12" ht="15">
      <c r="A1682" s="114" t="s">
        <v>2233</v>
      </c>
      <c r="B1682" s="114" t="s">
        <v>2523</v>
      </c>
      <c r="C1682" s="114">
        <v>2</v>
      </c>
      <c r="D1682" s="116">
        <v>0.0030911901081916537</v>
      </c>
      <c r="E1682" s="116">
        <v>2.496237545166735</v>
      </c>
      <c r="F1682" s="114" t="s">
        <v>1713</v>
      </c>
      <c r="G1682" s="114" t="b">
        <v>0</v>
      </c>
      <c r="H1682" s="114" t="b">
        <v>0</v>
      </c>
      <c r="I1682" s="114" t="b">
        <v>0</v>
      </c>
      <c r="J1682" s="114" t="b">
        <v>0</v>
      </c>
      <c r="K1682" s="114" t="b">
        <v>0</v>
      </c>
      <c r="L1682" s="114" t="b">
        <v>0</v>
      </c>
    </row>
    <row r="1683" spans="1:12" ht="15">
      <c r="A1683" s="114" t="s">
        <v>2523</v>
      </c>
      <c r="B1683" s="114" t="s">
        <v>1954</v>
      </c>
      <c r="C1683" s="114">
        <v>2</v>
      </c>
      <c r="D1683" s="116">
        <v>0.0030911901081916537</v>
      </c>
      <c r="E1683" s="116">
        <v>2.019116290447073</v>
      </c>
      <c r="F1683" s="114" t="s">
        <v>1713</v>
      </c>
      <c r="G1683" s="114" t="b">
        <v>0</v>
      </c>
      <c r="H1683" s="114" t="b">
        <v>0</v>
      </c>
      <c r="I1683" s="114" t="b">
        <v>0</v>
      </c>
      <c r="J1683" s="114" t="b">
        <v>0</v>
      </c>
      <c r="K1683" s="114" t="b">
        <v>0</v>
      </c>
      <c r="L1683" s="114" t="b">
        <v>0</v>
      </c>
    </row>
    <row r="1684" spans="1:12" ht="15">
      <c r="A1684" s="114" t="s">
        <v>1954</v>
      </c>
      <c r="B1684" s="114" t="s">
        <v>2230</v>
      </c>
      <c r="C1684" s="114">
        <v>2</v>
      </c>
      <c r="D1684" s="116">
        <v>0.0030911901081916537</v>
      </c>
      <c r="E1684" s="116">
        <v>2.019116290447073</v>
      </c>
      <c r="F1684" s="114" t="s">
        <v>1713</v>
      </c>
      <c r="G1684" s="114" t="b">
        <v>0</v>
      </c>
      <c r="H1684" s="114" t="b">
        <v>0</v>
      </c>
      <c r="I1684" s="114" t="b">
        <v>0</v>
      </c>
      <c r="J1684" s="114" t="b">
        <v>0</v>
      </c>
      <c r="K1684" s="114" t="b">
        <v>0</v>
      </c>
      <c r="L1684" s="114" t="b">
        <v>0</v>
      </c>
    </row>
    <row r="1685" spans="1:12" ht="15">
      <c r="A1685" s="114" t="s">
        <v>2230</v>
      </c>
      <c r="B1685" s="114" t="s">
        <v>1880</v>
      </c>
      <c r="C1685" s="114">
        <v>2</v>
      </c>
      <c r="D1685" s="116">
        <v>0.0030911901081916537</v>
      </c>
      <c r="E1685" s="116">
        <v>2.3201462861110542</v>
      </c>
      <c r="F1685" s="114" t="s">
        <v>1713</v>
      </c>
      <c r="G1685" s="114" t="b">
        <v>0</v>
      </c>
      <c r="H1685" s="114" t="b">
        <v>0</v>
      </c>
      <c r="I1685" s="114" t="b">
        <v>0</v>
      </c>
      <c r="J1685" s="114" t="b">
        <v>0</v>
      </c>
      <c r="K1685" s="114" t="b">
        <v>0</v>
      </c>
      <c r="L1685" s="114" t="b">
        <v>0</v>
      </c>
    </row>
    <row r="1686" spans="1:12" ht="15">
      <c r="A1686" s="114" t="s">
        <v>1880</v>
      </c>
      <c r="B1686" s="114" t="s">
        <v>2046</v>
      </c>
      <c r="C1686" s="114">
        <v>2</v>
      </c>
      <c r="D1686" s="116">
        <v>0.0030911901081916537</v>
      </c>
      <c r="E1686" s="116">
        <v>2.3201462861110542</v>
      </c>
      <c r="F1686" s="114" t="s">
        <v>1713</v>
      </c>
      <c r="G1686" s="114" t="b">
        <v>0</v>
      </c>
      <c r="H1686" s="114" t="b">
        <v>0</v>
      </c>
      <c r="I1686" s="114" t="b">
        <v>0</v>
      </c>
      <c r="J1686" s="114" t="b">
        <v>0</v>
      </c>
      <c r="K1686" s="114" t="b">
        <v>0</v>
      </c>
      <c r="L1686" s="114" t="b">
        <v>0</v>
      </c>
    </row>
    <row r="1687" spans="1:12" ht="15">
      <c r="A1687" s="114" t="s">
        <v>2046</v>
      </c>
      <c r="B1687" s="114" t="s">
        <v>2524</v>
      </c>
      <c r="C1687" s="114">
        <v>2</v>
      </c>
      <c r="D1687" s="116">
        <v>0.0030911901081916537</v>
      </c>
      <c r="E1687" s="116">
        <v>2.496237545166735</v>
      </c>
      <c r="F1687" s="114" t="s">
        <v>1713</v>
      </c>
      <c r="G1687" s="114" t="b">
        <v>0</v>
      </c>
      <c r="H1687" s="114" t="b">
        <v>0</v>
      </c>
      <c r="I1687" s="114" t="b">
        <v>0</v>
      </c>
      <c r="J1687" s="114" t="b">
        <v>0</v>
      </c>
      <c r="K1687" s="114" t="b">
        <v>0</v>
      </c>
      <c r="L1687" s="114" t="b">
        <v>0</v>
      </c>
    </row>
    <row r="1688" spans="1:12" ht="15">
      <c r="A1688" s="114" t="s">
        <v>2524</v>
      </c>
      <c r="B1688" s="114" t="s">
        <v>1967</v>
      </c>
      <c r="C1688" s="114">
        <v>2</v>
      </c>
      <c r="D1688" s="116">
        <v>0.0030911901081916537</v>
      </c>
      <c r="E1688" s="116">
        <v>2.496237545166735</v>
      </c>
      <c r="F1688" s="114" t="s">
        <v>1713</v>
      </c>
      <c r="G1688" s="114" t="b">
        <v>0</v>
      </c>
      <c r="H1688" s="114" t="b">
        <v>0</v>
      </c>
      <c r="I1688" s="114" t="b">
        <v>0</v>
      </c>
      <c r="J1688" s="114" t="b">
        <v>0</v>
      </c>
      <c r="K1688" s="114" t="b">
        <v>0</v>
      </c>
      <c r="L1688" s="114" t="b">
        <v>0</v>
      </c>
    </row>
    <row r="1689" spans="1:12" ht="15">
      <c r="A1689" s="114" t="s">
        <v>1967</v>
      </c>
      <c r="B1689" s="114" t="s">
        <v>2525</v>
      </c>
      <c r="C1689" s="114">
        <v>2</v>
      </c>
      <c r="D1689" s="116">
        <v>0.0030911901081916537</v>
      </c>
      <c r="E1689" s="116">
        <v>2.496237545166735</v>
      </c>
      <c r="F1689" s="114" t="s">
        <v>1713</v>
      </c>
      <c r="G1689" s="114" t="b">
        <v>0</v>
      </c>
      <c r="H1689" s="114" t="b">
        <v>0</v>
      </c>
      <c r="I1689" s="114" t="b">
        <v>0</v>
      </c>
      <c r="J1689" s="114" t="b">
        <v>0</v>
      </c>
      <c r="K1689" s="114" t="b">
        <v>0</v>
      </c>
      <c r="L1689" s="114" t="b">
        <v>0</v>
      </c>
    </row>
    <row r="1690" spans="1:12" ht="15">
      <c r="A1690" s="114" t="s">
        <v>2525</v>
      </c>
      <c r="B1690" s="114" t="s">
        <v>1844</v>
      </c>
      <c r="C1690" s="114">
        <v>2</v>
      </c>
      <c r="D1690" s="116">
        <v>0.0030911901081916537</v>
      </c>
      <c r="E1690" s="116">
        <v>1.7180862947830917</v>
      </c>
      <c r="F1690" s="114" t="s">
        <v>1713</v>
      </c>
      <c r="G1690" s="114" t="b">
        <v>0</v>
      </c>
      <c r="H1690" s="114" t="b">
        <v>0</v>
      </c>
      <c r="I1690" s="114" t="b">
        <v>0</v>
      </c>
      <c r="J1690" s="114" t="b">
        <v>0</v>
      </c>
      <c r="K1690" s="114" t="b">
        <v>0</v>
      </c>
      <c r="L1690" s="114" t="b">
        <v>0</v>
      </c>
    </row>
    <row r="1691" spans="1:12" ht="15">
      <c r="A1691" s="114" t="s">
        <v>1844</v>
      </c>
      <c r="B1691" s="114" t="s">
        <v>1764</v>
      </c>
      <c r="C1691" s="114">
        <v>2</v>
      </c>
      <c r="D1691" s="116">
        <v>0.0030911901081916537</v>
      </c>
      <c r="E1691" s="116">
        <v>1.4170562991191105</v>
      </c>
      <c r="F1691" s="114" t="s">
        <v>1713</v>
      </c>
      <c r="G1691" s="114" t="b">
        <v>0</v>
      </c>
      <c r="H1691" s="114" t="b">
        <v>0</v>
      </c>
      <c r="I1691" s="114" t="b">
        <v>0</v>
      </c>
      <c r="J1691" s="114" t="b">
        <v>0</v>
      </c>
      <c r="K1691" s="114" t="b">
        <v>0</v>
      </c>
      <c r="L1691" s="114" t="b">
        <v>0</v>
      </c>
    </row>
    <row r="1692" spans="1:12" ht="15">
      <c r="A1692" s="114" t="s">
        <v>1764</v>
      </c>
      <c r="B1692" s="114" t="s">
        <v>1844</v>
      </c>
      <c r="C1692" s="114">
        <v>2</v>
      </c>
      <c r="D1692" s="116">
        <v>0.0030911901081916537</v>
      </c>
      <c r="E1692" s="116">
        <v>1.4170562991191105</v>
      </c>
      <c r="F1692" s="114" t="s">
        <v>1713</v>
      </c>
      <c r="G1692" s="114" t="b">
        <v>0</v>
      </c>
      <c r="H1692" s="114" t="b">
        <v>0</v>
      </c>
      <c r="I1692" s="114" t="b">
        <v>0</v>
      </c>
      <c r="J1692" s="114" t="b">
        <v>0</v>
      </c>
      <c r="K1692" s="114" t="b">
        <v>0</v>
      </c>
      <c r="L1692" s="114" t="b">
        <v>0</v>
      </c>
    </row>
    <row r="1693" spans="1:12" ht="15">
      <c r="A1693" s="114" t="s">
        <v>1844</v>
      </c>
      <c r="B1693" s="114" t="s">
        <v>1866</v>
      </c>
      <c r="C1693" s="114">
        <v>2</v>
      </c>
      <c r="D1693" s="116">
        <v>0.0030911901081916537</v>
      </c>
      <c r="E1693" s="116">
        <v>1.0191162904470727</v>
      </c>
      <c r="F1693" s="114" t="s">
        <v>1713</v>
      </c>
      <c r="G1693" s="114" t="b">
        <v>0</v>
      </c>
      <c r="H1693" s="114" t="b">
        <v>0</v>
      </c>
      <c r="I1693" s="114" t="b">
        <v>0</v>
      </c>
      <c r="J1693" s="114" t="b">
        <v>0</v>
      </c>
      <c r="K1693" s="114" t="b">
        <v>0</v>
      </c>
      <c r="L1693" s="114" t="b">
        <v>0</v>
      </c>
    </row>
    <row r="1694" spans="1:12" ht="15">
      <c r="A1694" s="114" t="s">
        <v>1866</v>
      </c>
      <c r="B1694" s="114" t="s">
        <v>1844</v>
      </c>
      <c r="C1694" s="114">
        <v>2</v>
      </c>
      <c r="D1694" s="116">
        <v>0.0030911901081916537</v>
      </c>
      <c r="E1694" s="116">
        <v>1.0191162904470727</v>
      </c>
      <c r="F1694" s="114" t="s">
        <v>1713</v>
      </c>
      <c r="G1694" s="114" t="b">
        <v>0</v>
      </c>
      <c r="H1694" s="114" t="b">
        <v>0</v>
      </c>
      <c r="I1694" s="114" t="b">
        <v>0</v>
      </c>
      <c r="J1694" s="114" t="b">
        <v>0</v>
      </c>
      <c r="K1694" s="114" t="b">
        <v>0</v>
      </c>
      <c r="L1694" s="114" t="b">
        <v>0</v>
      </c>
    </row>
    <row r="1695" spans="1:12" ht="15">
      <c r="A1695" s="114" t="s">
        <v>1844</v>
      </c>
      <c r="B1695" s="114" t="s">
        <v>1801</v>
      </c>
      <c r="C1695" s="114">
        <v>2</v>
      </c>
      <c r="D1695" s="116">
        <v>0.0030911901081916537</v>
      </c>
      <c r="E1695" s="116">
        <v>1.5419950357274104</v>
      </c>
      <c r="F1695" s="114" t="s">
        <v>1713</v>
      </c>
      <c r="G1695" s="114" t="b">
        <v>0</v>
      </c>
      <c r="H1695" s="114" t="b">
        <v>0</v>
      </c>
      <c r="I1695" s="114" t="b">
        <v>0</v>
      </c>
      <c r="J1695" s="114" t="b">
        <v>0</v>
      </c>
      <c r="K1695" s="114" t="b">
        <v>0</v>
      </c>
      <c r="L1695" s="114" t="b">
        <v>0</v>
      </c>
    </row>
    <row r="1696" spans="1:12" ht="15">
      <c r="A1696" s="114" t="s">
        <v>1801</v>
      </c>
      <c r="B1696" s="114" t="s">
        <v>2526</v>
      </c>
      <c r="C1696" s="114">
        <v>2</v>
      </c>
      <c r="D1696" s="116">
        <v>0.0030911901081916537</v>
      </c>
      <c r="E1696" s="116">
        <v>2.3201462861110542</v>
      </c>
      <c r="F1696" s="114" t="s">
        <v>1713</v>
      </c>
      <c r="G1696" s="114" t="b">
        <v>0</v>
      </c>
      <c r="H1696" s="114" t="b">
        <v>0</v>
      </c>
      <c r="I1696" s="114" t="b">
        <v>0</v>
      </c>
      <c r="J1696" s="114" t="b">
        <v>0</v>
      </c>
      <c r="K1696" s="114" t="b">
        <v>0</v>
      </c>
      <c r="L1696" s="114" t="b">
        <v>0</v>
      </c>
    </row>
    <row r="1697" spans="1:12" ht="15">
      <c r="A1697" s="114" t="s">
        <v>2111</v>
      </c>
      <c r="B1697" s="114" t="s">
        <v>1980</v>
      </c>
      <c r="C1697" s="114">
        <v>2</v>
      </c>
      <c r="D1697" s="116">
        <v>0.004021731053057129</v>
      </c>
      <c r="E1697" s="116">
        <v>1.8941775538387728</v>
      </c>
      <c r="F1697" s="114" t="s">
        <v>1713</v>
      </c>
      <c r="G1697" s="114" t="b">
        <v>0</v>
      </c>
      <c r="H1697" s="114" t="b">
        <v>0</v>
      </c>
      <c r="I1697" s="114" t="b">
        <v>0</v>
      </c>
      <c r="J1697" s="114" t="b">
        <v>0</v>
      </c>
      <c r="K1697" s="114" t="b">
        <v>0</v>
      </c>
      <c r="L1697" s="114" t="b">
        <v>0</v>
      </c>
    </row>
    <row r="1698" spans="1:12" ht="15">
      <c r="A1698" s="114" t="s">
        <v>1749</v>
      </c>
      <c r="B1698" s="114" t="s">
        <v>1778</v>
      </c>
      <c r="C1698" s="114">
        <v>2</v>
      </c>
      <c r="D1698" s="116">
        <v>0.004021731053057129</v>
      </c>
      <c r="E1698" s="116">
        <v>1.7972675408307164</v>
      </c>
      <c r="F1698" s="114" t="s">
        <v>1713</v>
      </c>
      <c r="G1698" s="114" t="b">
        <v>0</v>
      </c>
      <c r="H1698" s="114" t="b">
        <v>0</v>
      </c>
      <c r="I1698" s="114" t="b">
        <v>0</v>
      </c>
      <c r="J1698" s="114" t="b">
        <v>0</v>
      </c>
      <c r="K1698" s="114" t="b">
        <v>0</v>
      </c>
      <c r="L1698" s="114" t="b">
        <v>0</v>
      </c>
    </row>
    <row r="1699" spans="1:12" ht="15">
      <c r="A1699" s="114" t="s">
        <v>2520</v>
      </c>
      <c r="B1699" s="114" t="s">
        <v>2521</v>
      </c>
      <c r="C1699" s="114">
        <v>2</v>
      </c>
      <c r="D1699" s="116">
        <v>0.004021731053057129</v>
      </c>
      <c r="E1699" s="116">
        <v>2.496237545166735</v>
      </c>
      <c r="F1699" s="114" t="s">
        <v>1713</v>
      </c>
      <c r="G1699" s="114" t="b">
        <v>0</v>
      </c>
      <c r="H1699" s="114" t="b">
        <v>0</v>
      </c>
      <c r="I1699" s="114" t="b">
        <v>0</v>
      </c>
      <c r="J1699" s="114" t="b">
        <v>0</v>
      </c>
      <c r="K1699" s="114" t="b">
        <v>0</v>
      </c>
      <c r="L1699" s="114" t="b">
        <v>0</v>
      </c>
    </row>
    <row r="1700" spans="1:12" ht="15">
      <c r="A1700" s="114" t="s">
        <v>1780</v>
      </c>
      <c r="B1700" s="114" t="s">
        <v>1781</v>
      </c>
      <c r="C1700" s="114">
        <v>6</v>
      </c>
      <c r="D1700" s="116">
        <v>0.02474219142443681</v>
      </c>
      <c r="E1700" s="116">
        <v>1.5288642524203477</v>
      </c>
      <c r="F1700" s="114" t="s">
        <v>1714</v>
      </c>
      <c r="G1700" s="114" t="b">
        <v>0</v>
      </c>
      <c r="H1700" s="114" t="b">
        <v>0</v>
      </c>
      <c r="I1700" s="114" t="b">
        <v>0</v>
      </c>
      <c r="J1700" s="114" t="b">
        <v>0</v>
      </c>
      <c r="K1700" s="114" t="b">
        <v>0</v>
      </c>
      <c r="L1700" s="114" t="b">
        <v>0</v>
      </c>
    </row>
    <row r="1701" spans="1:12" ht="15">
      <c r="A1701" s="114" t="s">
        <v>1798</v>
      </c>
      <c r="B1701" s="114" t="s">
        <v>2108</v>
      </c>
      <c r="C1701" s="114">
        <v>4</v>
      </c>
      <c r="D1701" s="116">
        <v>0.012371095712218404</v>
      </c>
      <c r="E1701" s="116">
        <v>1.7419390777291988</v>
      </c>
      <c r="F1701" s="114" t="s">
        <v>1714</v>
      </c>
      <c r="G1701" s="114" t="b">
        <v>0</v>
      </c>
      <c r="H1701" s="114" t="b">
        <v>0</v>
      </c>
      <c r="I1701" s="114" t="b">
        <v>0</v>
      </c>
      <c r="J1701" s="114" t="b">
        <v>0</v>
      </c>
      <c r="K1701" s="114" t="b">
        <v>0</v>
      </c>
      <c r="L1701" s="114" t="b">
        <v>0</v>
      </c>
    </row>
    <row r="1702" spans="1:12" ht="15">
      <c r="A1702" s="114" t="s">
        <v>2099</v>
      </c>
      <c r="B1702" s="114" t="s">
        <v>2251</v>
      </c>
      <c r="C1702" s="114">
        <v>3</v>
      </c>
      <c r="D1702" s="116">
        <v>0.012371095712218404</v>
      </c>
      <c r="E1702" s="116">
        <v>1.9637878273455553</v>
      </c>
      <c r="F1702" s="114" t="s">
        <v>1714</v>
      </c>
      <c r="G1702" s="114" t="b">
        <v>0</v>
      </c>
      <c r="H1702" s="114" t="b">
        <v>0</v>
      </c>
      <c r="I1702" s="114" t="b">
        <v>0</v>
      </c>
      <c r="J1702" s="114" t="b">
        <v>0</v>
      </c>
      <c r="K1702" s="114" t="b">
        <v>0</v>
      </c>
      <c r="L1702" s="114" t="b">
        <v>0</v>
      </c>
    </row>
    <row r="1703" spans="1:12" ht="15">
      <c r="A1703" s="114" t="s">
        <v>1945</v>
      </c>
      <c r="B1703" s="114" t="s">
        <v>1742</v>
      </c>
      <c r="C1703" s="114">
        <v>3</v>
      </c>
      <c r="D1703" s="116">
        <v>0.009278321784163802</v>
      </c>
      <c r="E1703" s="116">
        <v>1.1398790864012365</v>
      </c>
      <c r="F1703" s="114" t="s">
        <v>1714</v>
      </c>
      <c r="G1703" s="114" t="b">
        <v>0</v>
      </c>
      <c r="H1703" s="114" t="b">
        <v>0</v>
      </c>
      <c r="I1703" s="114" t="b">
        <v>0</v>
      </c>
      <c r="J1703" s="114" t="b">
        <v>0</v>
      </c>
      <c r="K1703" s="114" t="b">
        <v>0</v>
      </c>
      <c r="L1703" s="114" t="b">
        <v>0</v>
      </c>
    </row>
    <row r="1704" spans="1:12" ht="15">
      <c r="A1704" s="114" t="s">
        <v>2252</v>
      </c>
      <c r="B1704" s="114" t="s">
        <v>1806</v>
      </c>
      <c r="C1704" s="114">
        <v>2</v>
      </c>
      <c r="D1704" s="116">
        <v>0.008247397141478936</v>
      </c>
      <c r="E1704" s="116">
        <v>1.662757831681574</v>
      </c>
      <c r="F1704" s="114" t="s">
        <v>1714</v>
      </c>
      <c r="G1704" s="114" t="b">
        <v>0</v>
      </c>
      <c r="H1704" s="114" t="b">
        <v>0</v>
      </c>
      <c r="I1704" s="114" t="b">
        <v>0</v>
      </c>
      <c r="J1704" s="114" t="b">
        <v>0</v>
      </c>
      <c r="K1704" s="114" t="b">
        <v>0</v>
      </c>
      <c r="L1704" s="114" t="b">
        <v>0</v>
      </c>
    </row>
    <row r="1705" spans="1:12" ht="15">
      <c r="A1705" s="114" t="s">
        <v>2516</v>
      </c>
      <c r="B1705" s="114" t="s">
        <v>2517</v>
      </c>
      <c r="C1705" s="114">
        <v>2</v>
      </c>
      <c r="D1705" s="116">
        <v>0.008247397141478936</v>
      </c>
      <c r="E1705" s="116">
        <v>2.1398790864012365</v>
      </c>
      <c r="F1705" s="114" t="s">
        <v>1714</v>
      </c>
      <c r="G1705" s="114" t="b">
        <v>0</v>
      </c>
      <c r="H1705" s="114" t="b">
        <v>0</v>
      </c>
      <c r="I1705" s="114" t="b">
        <v>0</v>
      </c>
      <c r="J1705" s="114" t="b">
        <v>0</v>
      </c>
      <c r="K1705" s="114" t="b">
        <v>0</v>
      </c>
      <c r="L1705" s="114" t="b">
        <v>0</v>
      </c>
    </row>
    <row r="1706" spans="1:12" ht="15">
      <c r="A1706" s="114" t="s">
        <v>1742</v>
      </c>
      <c r="B1706" s="114" t="s">
        <v>1945</v>
      </c>
      <c r="C1706" s="114">
        <v>2</v>
      </c>
      <c r="D1706" s="116">
        <v>0.006185547856109202</v>
      </c>
      <c r="E1706" s="116">
        <v>0.9637878273455553</v>
      </c>
      <c r="F1706" s="114" t="s">
        <v>1714</v>
      </c>
      <c r="G1706" s="114" t="b">
        <v>0</v>
      </c>
      <c r="H1706" s="114" t="b">
        <v>0</v>
      </c>
      <c r="I1706" s="114" t="b">
        <v>0</v>
      </c>
      <c r="J1706" s="114" t="b">
        <v>0</v>
      </c>
      <c r="K1706" s="114" t="b">
        <v>0</v>
      </c>
      <c r="L1706" s="114" t="b">
        <v>0</v>
      </c>
    </row>
    <row r="1707" spans="1:12" ht="15">
      <c r="A1707" s="114" t="s">
        <v>1814</v>
      </c>
      <c r="B1707" s="114" t="s">
        <v>1933</v>
      </c>
      <c r="C1707" s="114">
        <v>2</v>
      </c>
      <c r="D1707" s="116">
        <v>0.006185547856109202</v>
      </c>
      <c r="E1707" s="116">
        <v>1.4409090820652177</v>
      </c>
      <c r="F1707" s="114" t="s">
        <v>1714</v>
      </c>
      <c r="G1707" s="114" t="b">
        <v>0</v>
      </c>
      <c r="H1707" s="114" t="b">
        <v>0</v>
      </c>
      <c r="I1707" s="114" t="b">
        <v>0</v>
      </c>
      <c r="J1707" s="114" t="b">
        <v>0</v>
      </c>
      <c r="K1707" s="114" t="b">
        <v>0</v>
      </c>
      <c r="L1707" s="114" t="b">
        <v>0</v>
      </c>
    </row>
    <row r="1708" spans="1:12" ht="15">
      <c r="A1708" s="114" t="s">
        <v>1933</v>
      </c>
      <c r="B1708" s="114" t="s">
        <v>1798</v>
      </c>
      <c r="C1708" s="114">
        <v>2</v>
      </c>
      <c r="D1708" s="116">
        <v>0.006185547856109202</v>
      </c>
      <c r="E1708" s="116">
        <v>1.486666572625893</v>
      </c>
      <c r="F1708" s="114" t="s">
        <v>1714</v>
      </c>
      <c r="G1708" s="114" t="b">
        <v>0</v>
      </c>
      <c r="H1708" s="114" t="b">
        <v>0</v>
      </c>
      <c r="I1708" s="114" t="b">
        <v>0</v>
      </c>
      <c r="J1708" s="114" t="b">
        <v>0</v>
      </c>
      <c r="K1708" s="114" t="b">
        <v>0</v>
      </c>
      <c r="L1708" s="114" t="b">
        <v>0</v>
      </c>
    </row>
    <row r="1709" spans="1:12" ht="15">
      <c r="A1709" s="114" t="s">
        <v>2512</v>
      </c>
      <c r="B1709" s="114" t="s">
        <v>2513</v>
      </c>
      <c r="C1709" s="114">
        <v>2</v>
      </c>
      <c r="D1709" s="116">
        <v>0.008247397141478936</v>
      </c>
      <c r="E1709" s="116">
        <v>2.1398790864012365</v>
      </c>
      <c r="F1709" s="114" t="s">
        <v>1714</v>
      </c>
      <c r="G1709" s="114" t="b">
        <v>0</v>
      </c>
      <c r="H1709" s="114" t="b">
        <v>0</v>
      </c>
      <c r="I1709" s="114" t="b">
        <v>0</v>
      </c>
      <c r="J1709" s="114" t="b">
        <v>0</v>
      </c>
      <c r="K1709" s="114" t="b">
        <v>0</v>
      </c>
      <c r="L1709" s="114" t="b">
        <v>0</v>
      </c>
    </row>
    <row r="1710" spans="1:12" ht="15">
      <c r="A1710" s="114" t="s">
        <v>1740</v>
      </c>
      <c r="B1710" s="114" t="s">
        <v>1740</v>
      </c>
      <c r="C1710" s="114">
        <v>2</v>
      </c>
      <c r="D1710" s="116">
        <v>0.006185547856109202</v>
      </c>
      <c r="E1710" s="116">
        <v>1.2648178230095366</v>
      </c>
      <c r="F1710" s="114" t="s">
        <v>1714</v>
      </c>
      <c r="G1710" s="114" t="b">
        <v>0</v>
      </c>
      <c r="H1710" s="114" t="b">
        <v>0</v>
      </c>
      <c r="I1710" s="114" t="b">
        <v>0</v>
      </c>
      <c r="J1710" s="114" t="b">
        <v>0</v>
      </c>
      <c r="K1710" s="114" t="b">
        <v>0</v>
      </c>
      <c r="L1710" s="114" t="b">
        <v>0</v>
      </c>
    </row>
    <row r="1711" spans="1:12" ht="15">
      <c r="A1711" s="114" t="s">
        <v>2507</v>
      </c>
      <c r="B1711" s="114" t="s">
        <v>2508</v>
      </c>
      <c r="C1711" s="114">
        <v>2</v>
      </c>
      <c r="D1711" s="116">
        <v>0.008247397141478936</v>
      </c>
      <c r="E1711" s="116">
        <v>2.1398790864012365</v>
      </c>
      <c r="F1711" s="114" t="s">
        <v>1714</v>
      </c>
      <c r="G1711" s="114" t="b">
        <v>0</v>
      </c>
      <c r="H1711" s="114" t="b">
        <v>0</v>
      </c>
      <c r="I1711" s="114" t="b">
        <v>0</v>
      </c>
      <c r="J1711" s="114" t="b">
        <v>0</v>
      </c>
      <c r="K1711" s="114" t="b">
        <v>0</v>
      </c>
      <c r="L1711" s="114" t="b">
        <v>0</v>
      </c>
    </row>
    <row r="1712" spans="1:12" ht="15">
      <c r="A1712" s="114" t="s">
        <v>1742</v>
      </c>
      <c r="B1712" s="114" t="s">
        <v>1742</v>
      </c>
      <c r="C1712" s="114">
        <v>2</v>
      </c>
      <c r="D1712" s="116">
        <v>0.008247397141478936</v>
      </c>
      <c r="E1712" s="116">
        <v>0.5835765856339493</v>
      </c>
      <c r="F1712" s="114" t="s">
        <v>1714</v>
      </c>
      <c r="G1712" s="114" t="b">
        <v>0</v>
      </c>
      <c r="H1712" s="114" t="b">
        <v>0</v>
      </c>
      <c r="I1712" s="114" t="b">
        <v>0</v>
      </c>
      <c r="J1712" s="114" t="b">
        <v>0</v>
      </c>
      <c r="K1712" s="114" t="b">
        <v>0</v>
      </c>
      <c r="L1712" s="114" t="b">
        <v>0</v>
      </c>
    </row>
    <row r="1713" spans="1:12" ht="15">
      <c r="A1713" s="114" t="s">
        <v>1741</v>
      </c>
      <c r="B1713" s="114" t="s">
        <v>1743</v>
      </c>
      <c r="C1713" s="114">
        <v>17</v>
      </c>
      <c r="D1713" s="116">
        <v>0.01358636738732707</v>
      </c>
      <c r="E1713" s="116">
        <v>1.481668882470383</v>
      </c>
      <c r="F1713" s="114" t="s">
        <v>1715</v>
      </c>
      <c r="G1713" s="114" t="b">
        <v>0</v>
      </c>
      <c r="H1713" s="114" t="b">
        <v>0</v>
      </c>
      <c r="I1713" s="114" t="b">
        <v>0</v>
      </c>
      <c r="J1713" s="114" t="b">
        <v>0</v>
      </c>
      <c r="K1713" s="114" t="b">
        <v>0</v>
      </c>
      <c r="L1713" s="114" t="b">
        <v>0</v>
      </c>
    </row>
    <row r="1714" spans="1:12" ht="15">
      <c r="A1714" s="114" t="s">
        <v>1904</v>
      </c>
      <c r="B1714" s="114" t="s">
        <v>1868</v>
      </c>
      <c r="C1714" s="114">
        <v>7</v>
      </c>
      <c r="D1714" s="116">
        <v>0.015503408815975603</v>
      </c>
      <c r="E1714" s="116">
        <v>1.9153244434089551</v>
      </c>
      <c r="F1714" s="114" t="s">
        <v>1715</v>
      </c>
      <c r="G1714" s="114" t="b">
        <v>0</v>
      </c>
      <c r="H1714" s="114" t="b">
        <v>0</v>
      </c>
      <c r="I1714" s="114" t="b">
        <v>0</v>
      </c>
      <c r="J1714" s="114" t="b">
        <v>0</v>
      </c>
      <c r="K1714" s="114" t="b">
        <v>0</v>
      </c>
      <c r="L1714" s="114" t="b">
        <v>0</v>
      </c>
    </row>
    <row r="1715" spans="1:12" ht="15">
      <c r="A1715" s="114" t="s">
        <v>1743</v>
      </c>
      <c r="B1715" s="114" t="s">
        <v>1741</v>
      </c>
      <c r="C1715" s="114">
        <v>5</v>
      </c>
      <c r="D1715" s="116">
        <v>0.006031484953148717</v>
      </c>
      <c r="E1715" s="116">
        <v>0.998494645002683</v>
      </c>
      <c r="F1715" s="114" t="s">
        <v>1715</v>
      </c>
      <c r="G1715" s="114" t="b">
        <v>0</v>
      </c>
      <c r="H1715" s="114" t="b">
        <v>0</v>
      </c>
      <c r="I1715" s="114" t="b">
        <v>0</v>
      </c>
      <c r="J1715" s="114" t="b">
        <v>0</v>
      </c>
      <c r="K1715" s="114" t="b">
        <v>0</v>
      </c>
      <c r="L1715" s="114" t="b">
        <v>0</v>
      </c>
    </row>
    <row r="1716" spans="1:12" ht="15">
      <c r="A1716" s="114" t="s">
        <v>1976</v>
      </c>
      <c r="B1716" s="114" t="s">
        <v>1977</v>
      </c>
      <c r="C1716" s="114">
        <v>5</v>
      </c>
      <c r="D1716" s="116">
        <v>0.011073863439982573</v>
      </c>
      <c r="E1716" s="116">
        <v>1.9030899869919438</v>
      </c>
      <c r="F1716" s="114" t="s">
        <v>1715</v>
      </c>
      <c r="G1716" s="114" t="b">
        <v>0</v>
      </c>
      <c r="H1716" s="114" t="b">
        <v>0</v>
      </c>
      <c r="I1716" s="114" t="b">
        <v>0</v>
      </c>
      <c r="J1716" s="114" t="b">
        <v>0</v>
      </c>
      <c r="K1716" s="114" t="b">
        <v>0</v>
      </c>
      <c r="L1716" s="114" t="b">
        <v>0</v>
      </c>
    </row>
    <row r="1717" spans="1:12" ht="15">
      <c r="A1717" s="114" t="s">
        <v>1743</v>
      </c>
      <c r="B1717" s="114" t="s">
        <v>1739</v>
      </c>
      <c r="C1717" s="114">
        <v>4</v>
      </c>
      <c r="D1717" s="116">
        <v>0.004825187962518974</v>
      </c>
      <c r="E1717" s="116">
        <v>0.8098142586389812</v>
      </c>
      <c r="F1717" s="114" t="s">
        <v>1715</v>
      </c>
      <c r="G1717" s="114" t="b">
        <v>0</v>
      </c>
      <c r="H1717" s="114" t="b">
        <v>0</v>
      </c>
      <c r="I1717" s="114" t="b">
        <v>0</v>
      </c>
      <c r="J1717" s="114" t="b">
        <v>0</v>
      </c>
      <c r="K1717" s="114" t="b">
        <v>0</v>
      </c>
      <c r="L1717" s="114" t="b">
        <v>0</v>
      </c>
    </row>
    <row r="1718" spans="1:12" ht="15">
      <c r="A1718" s="114" t="s">
        <v>1777</v>
      </c>
      <c r="B1718" s="114" t="s">
        <v>1748</v>
      </c>
      <c r="C1718" s="114">
        <v>4</v>
      </c>
      <c r="D1718" s="116">
        <v>0.004825187962518974</v>
      </c>
      <c r="E1718" s="116">
        <v>1.6221197852569305</v>
      </c>
      <c r="F1718" s="114" t="s">
        <v>1715</v>
      </c>
      <c r="G1718" s="114" t="b">
        <v>0</v>
      </c>
      <c r="H1718" s="114" t="b">
        <v>0</v>
      </c>
      <c r="I1718" s="114" t="b">
        <v>0</v>
      </c>
      <c r="J1718" s="114" t="b">
        <v>0</v>
      </c>
      <c r="K1718" s="114" t="b">
        <v>0</v>
      </c>
      <c r="L1718" s="114" t="b">
        <v>0</v>
      </c>
    </row>
    <row r="1719" spans="1:12" ht="15">
      <c r="A1719" s="114" t="s">
        <v>1860</v>
      </c>
      <c r="B1719" s="114" t="s">
        <v>1860</v>
      </c>
      <c r="C1719" s="114">
        <v>4</v>
      </c>
      <c r="D1719" s="116">
        <v>0.008859090751986059</v>
      </c>
      <c r="E1719" s="116">
        <v>1.3210897895929494</v>
      </c>
      <c r="F1719" s="114" t="s">
        <v>1715</v>
      </c>
      <c r="G1719" s="114" t="b">
        <v>0</v>
      </c>
      <c r="H1719" s="114" t="b">
        <v>1</v>
      </c>
      <c r="I1719" s="114" t="b">
        <v>0</v>
      </c>
      <c r="J1719" s="114" t="b">
        <v>0</v>
      </c>
      <c r="K1719" s="114" t="b">
        <v>1</v>
      </c>
      <c r="L1719" s="114" t="b">
        <v>0</v>
      </c>
    </row>
    <row r="1720" spans="1:12" ht="15">
      <c r="A1720" s="114" t="s">
        <v>1740</v>
      </c>
      <c r="B1720" s="114" t="s">
        <v>1740</v>
      </c>
      <c r="C1720" s="114">
        <v>4</v>
      </c>
      <c r="D1720" s="116">
        <v>0.004825187962518974</v>
      </c>
      <c r="E1720" s="116">
        <v>1.2796971044347243</v>
      </c>
      <c r="F1720" s="114" t="s">
        <v>1715</v>
      </c>
      <c r="G1720" s="114" t="b">
        <v>0</v>
      </c>
      <c r="H1720" s="114" t="b">
        <v>0</v>
      </c>
      <c r="I1720" s="114" t="b">
        <v>0</v>
      </c>
      <c r="J1720" s="114" t="b">
        <v>0</v>
      </c>
      <c r="K1720" s="114" t="b">
        <v>0</v>
      </c>
      <c r="L1720" s="114" t="b">
        <v>0</v>
      </c>
    </row>
    <row r="1721" spans="1:12" ht="15">
      <c r="A1721" s="114" t="s">
        <v>1978</v>
      </c>
      <c r="B1721" s="114" t="s">
        <v>1979</v>
      </c>
      <c r="C1721" s="114">
        <v>4</v>
      </c>
      <c r="D1721" s="116">
        <v>0.008859090751986059</v>
      </c>
      <c r="E1721" s="116">
        <v>1.806179973983887</v>
      </c>
      <c r="F1721" s="114" t="s">
        <v>1715</v>
      </c>
      <c r="G1721" s="114" t="b">
        <v>0</v>
      </c>
      <c r="H1721" s="114" t="b">
        <v>0</v>
      </c>
      <c r="I1721" s="114" t="b">
        <v>0</v>
      </c>
      <c r="J1721" s="114" t="b">
        <v>0</v>
      </c>
      <c r="K1721" s="114" t="b">
        <v>1</v>
      </c>
      <c r="L1721" s="114" t="b">
        <v>0</v>
      </c>
    </row>
    <row r="1722" spans="1:12" ht="15">
      <c r="A1722" s="114" t="s">
        <v>1883</v>
      </c>
      <c r="B1722" s="114" t="s">
        <v>2019</v>
      </c>
      <c r="C1722" s="114">
        <v>4</v>
      </c>
      <c r="D1722" s="116">
        <v>0.008859090751986059</v>
      </c>
      <c r="E1722" s="116">
        <v>1.6635124704151556</v>
      </c>
      <c r="F1722" s="114" t="s">
        <v>1715</v>
      </c>
      <c r="G1722" s="114" t="b">
        <v>0</v>
      </c>
      <c r="H1722" s="114" t="b">
        <v>0</v>
      </c>
      <c r="I1722" s="114" t="b">
        <v>0</v>
      </c>
      <c r="J1722" s="114" t="b">
        <v>1</v>
      </c>
      <c r="K1722" s="114" t="b">
        <v>0</v>
      </c>
      <c r="L1722" s="114" t="b">
        <v>0</v>
      </c>
    </row>
    <row r="1723" spans="1:12" ht="15">
      <c r="A1723" s="114" t="s">
        <v>1744</v>
      </c>
      <c r="B1723" s="114" t="s">
        <v>1746</v>
      </c>
      <c r="C1723" s="114">
        <v>3</v>
      </c>
      <c r="D1723" s="116">
        <v>0.005131604517939387</v>
      </c>
      <c r="E1723" s="116">
        <v>1.6354837468149122</v>
      </c>
      <c r="F1723" s="114" t="s">
        <v>1715</v>
      </c>
      <c r="G1723" s="114" t="b">
        <v>0</v>
      </c>
      <c r="H1723" s="114" t="b">
        <v>0</v>
      </c>
      <c r="I1723" s="114" t="b">
        <v>0</v>
      </c>
      <c r="J1723" s="114" t="b">
        <v>0</v>
      </c>
      <c r="K1723" s="114" t="b">
        <v>1</v>
      </c>
      <c r="L1723" s="114" t="b">
        <v>0</v>
      </c>
    </row>
    <row r="1724" spans="1:12" ht="15">
      <c r="A1724" s="114" t="s">
        <v>1746</v>
      </c>
      <c r="B1724" s="114" t="s">
        <v>1739</v>
      </c>
      <c r="C1724" s="114">
        <v>3</v>
      </c>
      <c r="D1724" s="116">
        <v>0.005131604517939387</v>
      </c>
      <c r="E1724" s="116">
        <v>1.0122344564170116</v>
      </c>
      <c r="F1724" s="114" t="s">
        <v>1715</v>
      </c>
      <c r="G1724" s="114" t="b">
        <v>0</v>
      </c>
      <c r="H1724" s="114" t="b">
        <v>1</v>
      </c>
      <c r="I1724" s="114" t="b">
        <v>0</v>
      </c>
      <c r="J1724" s="114" t="b">
        <v>0</v>
      </c>
      <c r="K1724" s="114" t="b">
        <v>0</v>
      </c>
      <c r="L1724" s="114" t="b">
        <v>0</v>
      </c>
    </row>
    <row r="1725" spans="1:12" ht="15">
      <c r="A1725" s="114" t="s">
        <v>1739</v>
      </c>
      <c r="B1725" s="114" t="s">
        <v>1818</v>
      </c>
      <c r="C1725" s="114">
        <v>3</v>
      </c>
      <c r="D1725" s="116">
        <v>0.006644318063989544</v>
      </c>
      <c r="E1725" s="116">
        <v>1.3986946474056192</v>
      </c>
      <c r="F1725" s="114" t="s">
        <v>1715</v>
      </c>
      <c r="G1725" s="114" t="b">
        <v>0</v>
      </c>
      <c r="H1725" s="114" t="b">
        <v>0</v>
      </c>
      <c r="I1725" s="114" t="b">
        <v>0</v>
      </c>
      <c r="J1725" s="114" t="b">
        <v>0</v>
      </c>
      <c r="K1725" s="114" t="b">
        <v>0</v>
      </c>
      <c r="L1725" s="114" t="b">
        <v>0</v>
      </c>
    </row>
    <row r="1726" spans="1:12" ht="15">
      <c r="A1726" s="114" t="s">
        <v>1868</v>
      </c>
      <c r="B1726" s="114" t="s">
        <v>1904</v>
      </c>
      <c r="C1726" s="114">
        <v>3</v>
      </c>
      <c r="D1726" s="116">
        <v>0.006644318063989544</v>
      </c>
      <c r="E1726" s="116">
        <v>1.614294447744974</v>
      </c>
      <c r="F1726" s="114" t="s">
        <v>1715</v>
      </c>
      <c r="G1726" s="114" t="b">
        <v>0</v>
      </c>
      <c r="H1726" s="114" t="b">
        <v>0</v>
      </c>
      <c r="I1726" s="114" t="b">
        <v>0</v>
      </c>
      <c r="J1726" s="114" t="b">
        <v>0</v>
      </c>
      <c r="K1726" s="114" t="b">
        <v>0</v>
      </c>
      <c r="L1726" s="114" t="b">
        <v>0</v>
      </c>
    </row>
    <row r="1727" spans="1:12" ht="15">
      <c r="A1727" s="114" t="s">
        <v>1739</v>
      </c>
      <c r="B1727" s="114" t="s">
        <v>1746</v>
      </c>
      <c r="C1727" s="114">
        <v>2</v>
      </c>
      <c r="D1727" s="116">
        <v>0.003421069678626258</v>
      </c>
      <c r="E1727" s="116">
        <v>0.7966346560776568</v>
      </c>
      <c r="F1727" s="114" t="s">
        <v>1715</v>
      </c>
      <c r="G1727" s="114" t="b">
        <v>0</v>
      </c>
      <c r="H1727" s="114" t="b">
        <v>0</v>
      </c>
      <c r="I1727" s="114" t="b">
        <v>0</v>
      </c>
      <c r="J1727" s="114" t="b">
        <v>0</v>
      </c>
      <c r="K1727" s="114" t="b">
        <v>1</v>
      </c>
      <c r="L1727" s="114" t="b">
        <v>0</v>
      </c>
    </row>
    <row r="1728" spans="1:12" ht="15">
      <c r="A1728" s="114" t="s">
        <v>1746</v>
      </c>
      <c r="B1728" s="114" t="s">
        <v>1748</v>
      </c>
      <c r="C1728" s="114">
        <v>2</v>
      </c>
      <c r="D1728" s="116">
        <v>0.003421069678626258</v>
      </c>
      <c r="E1728" s="116">
        <v>1.1169698069370246</v>
      </c>
      <c r="F1728" s="114" t="s">
        <v>1715</v>
      </c>
      <c r="G1728" s="114" t="b">
        <v>0</v>
      </c>
      <c r="H1728" s="114" t="b">
        <v>1</v>
      </c>
      <c r="I1728" s="114" t="b">
        <v>0</v>
      </c>
      <c r="J1728" s="114" t="b">
        <v>0</v>
      </c>
      <c r="K1728" s="114" t="b">
        <v>0</v>
      </c>
      <c r="L1728" s="114" t="b">
        <v>0</v>
      </c>
    </row>
    <row r="1729" spans="1:12" ht="15">
      <c r="A1729" s="114" t="s">
        <v>1748</v>
      </c>
      <c r="B1729" s="114" t="s">
        <v>1777</v>
      </c>
      <c r="C1729" s="114">
        <v>2</v>
      </c>
      <c r="D1729" s="116">
        <v>0.003421069678626258</v>
      </c>
      <c r="E1729" s="116">
        <v>1.2833012287035497</v>
      </c>
      <c r="F1729" s="114" t="s">
        <v>1715</v>
      </c>
      <c r="G1729" s="114" t="b">
        <v>0</v>
      </c>
      <c r="H1729" s="114" t="b">
        <v>0</v>
      </c>
      <c r="I1729" s="114" t="b">
        <v>0</v>
      </c>
      <c r="J1729" s="114" t="b">
        <v>0</v>
      </c>
      <c r="K1729" s="114" t="b">
        <v>0</v>
      </c>
      <c r="L1729" s="114" t="b">
        <v>0</v>
      </c>
    </row>
    <row r="1730" spans="1:12" ht="15">
      <c r="A1730" s="114" t="s">
        <v>2483</v>
      </c>
      <c r="B1730" s="114" t="s">
        <v>2159</v>
      </c>
      <c r="C1730" s="114">
        <v>2</v>
      </c>
      <c r="D1730" s="116">
        <v>0.004429545375993029</v>
      </c>
      <c r="E1730" s="116">
        <v>2.459392487759231</v>
      </c>
      <c r="F1730" s="114" t="s">
        <v>1715</v>
      </c>
      <c r="G1730" s="114" t="b">
        <v>0</v>
      </c>
      <c r="H1730" s="114" t="b">
        <v>0</v>
      </c>
      <c r="I1730" s="114" t="b">
        <v>0</v>
      </c>
      <c r="J1730" s="114" t="b">
        <v>0</v>
      </c>
      <c r="K1730" s="114" t="b">
        <v>0</v>
      </c>
      <c r="L1730" s="114" t="b">
        <v>0</v>
      </c>
    </row>
    <row r="1731" spans="1:12" ht="15">
      <c r="A1731" s="114" t="s">
        <v>1826</v>
      </c>
      <c r="B1731" s="114" t="s">
        <v>1826</v>
      </c>
      <c r="C1731" s="114">
        <v>2</v>
      </c>
      <c r="D1731" s="116">
        <v>0.003421069678626258</v>
      </c>
      <c r="E1731" s="116">
        <v>1.2041199826559248</v>
      </c>
      <c r="F1731" s="114" t="s">
        <v>1715</v>
      </c>
      <c r="G1731" s="114" t="b">
        <v>0</v>
      </c>
      <c r="H1731" s="114" t="b">
        <v>0</v>
      </c>
      <c r="I1731" s="114" t="b">
        <v>0</v>
      </c>
      <c r="J1731" s="114" t="b">
        <v>0</v>
      </c>
      <c r="K1731" s="114" t="b">
        <v>0</v>
      </c>
      <c r="L1731" s="114" t="b">
        <v>0</v>
      </c>
    </row>
    <row r="1732" spans="1:12" ht="15">
      <c r="A1732" s="114" t="s">
        <v>1739</v>
      </c>
      <c r="B1732" s="114" t="s">
        <v>1771</v>
      </c>
      <c r="C1732" s="114">
        <v>2</v>
      </c>
      <c r="D1732" s="116">
        <v>0.003421069678626258</v>
      </c>
      <c r="E1732" s="116">
        <v>0.9215733926859567</v>
      </c>
      <c r="F1732" s="114" t="s">
        <v>1715</v>
      </c>
      <c r="G1732" s="114" t="b">
        <v>0</v>
      </c>
      <c r="H1732" s="114" t="b">
        <v>0</v>
      </c>
      <c r="I1732" s="114" t="b">
        <v>0</v>
      </c>
      <c r="J1732" s="114" t="b">
        <v>0</v>
      </c>
      <c r="K1732" s="114" t="b">
        <v>1</v>
      </c>
      <c r="L1732" s="114" t="b">
        <v>0</v>
      </c>
    </row>
    <row r="1733" spans="1:12" ht="15">
      <c r="A1733" s="114" t="s">
        <v>1739</v>
      </c>
      <c r="B1733" s="114" t="s">
        <v>2482</v>
      </c>
      <c r="C1733" s="114">
        <v>2</v>
      </c>
      <c r="D1733" s="116">
        <v>0.004429545375993029</v>
      </c>
      <c r="E1733" s="116">
        <v>1.3986946474056192</v>
      </c>
      <c r="F1733" s="114" t="s">
        <v>1715</v>
      </c>
      <c r="G1733" s="114" t="b">
        <v>0</v>
      </c>
      <c r="H1733" s="114" t="b">
        <v>0</v>
      </c>
      <c r="I1733" s="114" t="b">
        <v>0</v>
      </c>
      <c r="J1733" s="114" t="b">
        <v>0</v>
      </c>
      <c r="K1733" s="114" t="b">
        <v>0</v>
      </c>
      <c r="L1733" s="114" t="b">
        <v>0</v>
      </c>
    </row>
    <row r="1734" spans="1:12" ht="15">
      <c r="A1734" s="114" t="s">
        <v>2482</v>
      </c>
      <c r="B1734" s="114" t="s">
        <v>1824</v>
      </c>
      <c r="C1734" s="114">
        <v>2</v>
      </c>
      <c r="D1734" s="116">
        <v>0.004429545375993029</v>
      </c>
      <c r="E1734" s="116">
        <v>2.2833012287035497</v>
      </c>
      <c r="F1734" s="114" t="s">
        <v>1715</v>
      </c>
      <c r="G1734" s="114" t="b">
        <v>0</v>
      </c>
      <c r="H1734" s="114" t="b">
        <v>0</v>
      </c>
      <c r="I1734" s="114" t="b">
        <v>0</v>
      </c>
      <c r="J1734" s="114" t="b">
        <v>0</v>
      </c>
      <c r="K1734" s="114" t="b">
        <v>0</v>
      </c>
      <c r="L1734" s="114" t="b">
        <v>0</v>
      </c>
    </row>
    <row r="1735" spans="1:12" ht="15">
      <c r="A1735" s="114" t="s">
        <v>1868</v>
      </c>
      <c r="B1735" s="114" t="s">
        <v>2241</v>
      </c>
      <c r="C1735" s="114">
        <v>2</v>
      </c>
      <c r="D1735" s="116">
        <v>0.004429545375993029</v>
      </c>
      <c r="E1735" s="116">
        <v>1.739233184353274</v>
      </c>
      <c r="F1735" s="114" t="s">
        <v>1715</v>
      </c>
      <c r="G1735" s="114" t="b">
        <v>0</v>
      </c>
      <c r="H1735" s="114" t="b">
        <v>0</v>
      </c>
      <c r="I1735" s="114" t="b">
        <v>0</v>
      </c>
      <c r="J1735" s="114" t="b">
        <v>0</v>
      </c>
      <c r="K1735" s="114" t="b">
        <v>0</v>
      </c>
      <c r="L1735" s="114" t="b">
        <v>0</v>
      </c>
    </row>
    <row r="1736" spans="1:12" ht="15">
      <c r="A1736" s="114" t="s">
        <v>2242</v>
      </c>
      <c r="B1736" s="114" t="s">
        <v>2479</v>
      </c>
      <c r="C1736" s="114">
        <v>2</v>
      </c>
      <c r="D1736" s="116">
        <v>0.004429545375993029</v>
      </c>
      <c r="E1736" s="116">
        <v>2.459392487759231</v>
      </c>
      <c r="F1736" s="114" t="s">
        <v>1715</v>
      </c>
      <c r="G1736" s="114" t="b">
        <v>0</v>
      </c>
      <c r="H1736" s="114" t="b">
        <v>0</v>
      </c>
      <c r="I1736" s="114" t="b">
        <v>0</v>
      </c>
      <c r="J1736" s="114" t="b">
        <v>0</v>
      </c>
      <c r="K1736" s="114" t="b">
        <v>0</v>
      </c>
      <c r="L1736" s="114" t="b">
        <v>0</v>
      </c>
    </row>
    <row r="1737" spans="1:12" ht="15">
      <c r="A1737" s="114" t="s">
        <v>2102</v>
      </c>
      <c r="B1737" s="114" t="s">
        <v>1826</v>
      </c>
      <c r="C1737" s="114">
        <v>2</v>
      </c>
      <c r="D1737" s="116">
        <v>0.004429545375993029</v>
      </c>
      <c r="E1737" s="116">
        <v>1.6812412373755872</v>
      </c>
      <c r="F1737" s="114" t="s">
        <v>1715</v>
      </c>
      <c r="G1737" s="114" t="b">
        <v>1</v>
      </c>
      <c r="H1737" s="114" t="b">
        <v>0</v>
      </c>
      <c r="I1737" s="114" t="b">
        <v>0</v>
      </c>
      <c r="J1737" s="114" t="b">
        <v>0</v>
      </c>
      <c r="K1737" s="114" t="b">
        <v>0</v>
      </c>
      <c r="L1737" s="114" t="b">
        <v>0</v>
      </c>
    </row>
    <row r="1738" spans="1:12" ht="15">
      <c r="A1738" s="114" t="s">
        <v>2020</v>
      </c>
      <c r="B1738" s="114" t="s">
        <v>2185</v>
      </c>
      <c r="C1738" s="114">
        <v>2</v>
      </c>
      <c r="D1738" s="116">
        <v>0.004429545375993029</v>
      </c>
      <c r="E1738" s="116">
        <v>2.061452479087193</v>
      </c>
      <c r="F1738" s="114" t="s">
        <v>1715</v>
      </c>
      <c r="G1738" s="114" t="b">
        <v>0</v>
      </c>
      <c r="H1738" s="114" t="b">
        <v>0</v>
      </c>
      <c r="I1738" s="114" t="b">
        <v>0</v>
      </c>
      <c r="J1738" s="114" t="b">
        <v>0</v>
      </c>
      <c r="K1738" s="114" t="b">
        <v>0</v>
      </c>
      <c r="L1738" s="114" t="b">
        <v>0</v>
      </c>
    </row>
    <row r="1739" spans="1:12" ht="15">
      <c r="A1739" s="114" t="s">
        <v>1780</v>
      </c>
      <c r="B1739" s="114" t="s">
        <v>1781</v>
      </c>
      <c r="C1739" s="114">
        <v>2</v>
      </c>
      <c r="D1739" s="116">
        <v>0.003421069678626258</v>
      </c>
      <c r="E1739" s="116">
        <v>2.459392487759231</v>
      </c>
      <c r="F1739" s="114" t="s">
        <v>1715</v>
      </c>
      <c r="G1739" s="114" t="b">
        <v>0</v>
      </c>
      <c r="H1739" s="114" t="b">
        <v>0</v>
      </c>
      <c r="I1739" s="114" t="b">
        <v>0</v>
      </c>
      <c r="J1739" s="114" t="b">
        <v>0</v>
      </c>
      <c r="K1739" s="114" t="b">
        <v>0</v>
      </c>
      <c r="L1739" s="114" t="b">
        <v>0</v>
      </c>
    </row>
    <row r="1740" spans="1:12" ht="15">
      <c r="A1740" s="114" t="s">
        <v>1903</v>
      </c>
      <c r="B1740" s="114" t="s">
        <v>1903</v>
      </c>
      <c r="C1740" s="114">
        <v>2</v>
      </c>
      <c r="D1740" s="116">
        <v>0.004429545375993029</v>
      </c>
      <c r="E1740" s="116">
        <v>1.8573324964312685</v>
      </c>
      <c r="F1740" s="114" t="s">
        <v>1715</v>
      </c>
      <c r="G1740" s="114" t="b">
        <v>0</v>
      </c>
      <c r="H1740" s="114" t="b">
        <v>0</v>
      </c>
      <c r="I1740" s="114" t="b">
        <v>0</v>
      </c>
      <c r="J1740" s="114" t="b">
        <v>0</v>
      </c>
      <c r="K1740" s="114" t="b">
        <v>0</v>
      </c>
      <c r="L1740" s="114" t="b">
        <v>0</v>
      </c>
    </row>
    <row r="1741" spans="1:12" ht="15">
      <c r="A1741" s="114" t="s">
        <v>1739</v>
      </c>
      <c r="B1741" s="114" t="s">
        <v>1748</v>
      </c>
      <c r="C1741" s="114">
        <v>2</v>
      </c>
      <c r="D1741" s="116">
        <v>0.003421069678626258</v>
      </c>
      <c r="E1741" s="116">
        <v>0.6583319579113752</v>
      </c>
      <c r="F1741" s="114" t="s">
        <v>1715</v>
      </c>
      <c r="G1741" s="114" t="b">
        <v>0</v>
      </c>
      <c r="H1741" s="114" t="b">
        <v>0</v>
      </c>
      <c r="I1741" s="114" t="b">
        <v>0</v>
      </c>
      <c r="J1741" s="114" t="b">
        <v>0</v>
      </c>
      <c r="K1741" s="114" t="b">
        <v>0</v>
      </c>
      <c r="L1741" s="114" t="b">
        <v>0</v>
      </c>
    </row>
    <row r="1742" spans="1:12" ht="15">
      <c r="A1742" s="114" t="s">
        <v>1969</v>
      </c>
      <c r="B1742" s="114" t="s">
        <v>1969</v>
      </c>
      <c r="C1742" s="114">
        <v>2</v>
      </c>
      <c r="D1742" s="116">
        <v>0.004429545375993029</v>
      </c>
      <c r="E1742" s="116">
        <v>2.2833012287035497</v>
      </c>
      <c r="F1742" s="114" t="s">
        <v>1715</v>
      </c>
      <c r="G1742" s="114" t="b">
        <v>0</v>
      </c>
      <c r="H1742" s="114" t="b">
        <v>1</v>
      </c>
      <c r="I1742" s="114" t="b">
        <v>0</v>
      </c>
      <c r="J1742" s="114" t="b">
        <v>0</v>
      </c>
      <c r="K1742" s="114" t="b">
        <v>1</v>
      </c>
      <c r="L1742" s="114" t="b">
        <v>0</v>
      </c>
    </row>
    <row r="1743" spans="1:12" ht="15">
      <c r="A1743" s="114" t="s">
        <v>1793</v>
      </c>
      <c r="B1743" s="114" t="s">
        <v>2095</v>
      </c>
      <c r="C1743" s="114">
        <v>2</v>
      </c>
      <c r="D1743" s="116">
        <v>0.003421069678626258</v>
      </c>
      <c r="E1743" s="116">
        <v>2.1072099696478683</v>
      </c>
      <c r="F1743" s="114" t="s">
        <v>1715</v>
      </c>
      <c r="G1743" s="114" t="b">
        <v>0</v>
      </c>
      <c r="H1743" s="114" t="b">
        <v>0</v>
      </c>
      <c r="I1743" s="114" t="b">
        <v>0</v>
      </c>
      <c r="J1743" s="114" t="b">
        <v>0</v>
      </c>
      <c r="K1743" s="114" t="b">
        <v>0</v>
      </c>
      <c r="L1743" s="114" t="b">
        <v>0</v>
      </c>
    </row>
    <row r="1744" spans="1:12" ht="15">
      <c r="A1744" s="114" t="s">
        <v>2097</v>
      </c>
      <c r="B1744" s="114" t="s">
        <v>2098</v>
      </c>
      <c r="C1744" s="114">
        <v>2</v>
      </c>
      <c r="D1744" s="116">
        <v>0.003421069678626258</v>
      </c>
      <c r="E1744" s="116">
        <v>2.1072099696478683</v>
      </c>
      <c r="F1744" s="114" t="s">
        <v>1715</v>
      </c>
      <c r="G1744" s="114" t="b">
        <v>0</v>
      </c>
      <c r="H1744" s="114" t="b">
        <v>0</v>
      </c>
      <c r="I1744" s="114" t="b">
        <v>0</v>
      </c>
      <c r="J1744" s="114" t="b">
        <v>0</v>
      </c>
      <c r="K1744" s="114" t="b">
        <v>0</v>
      </c>
      <c r="L1744" s="114" t="b">
        <v>0</v>
      </c>
    </row>
    <row r="1745" spans="1:12" ht="15">
      <c r="A1745" s="114" t="s">
        <v>1771</v>
      </c>
      <c r="B1745" s="114" t="s">
        <v>1741</v>
      </c>
      <c r="C1745" s="114">
        <v>2</v>
      </c>
      <c r="D1745" s="116">
        <v>0.004429545375993029</v>
      </c>
      <c r="E1745" s="116">
        <v>1.0528523073252758</v>
      </c>
      <c r="F1745" s="114" t="s">
        <v>1715</v>
      </c>
      <c r="G1745" s="114" t="b">
        <v>0</v>
      </c>
      <c r="H1745" s="114" t="b">
        <v>1</v>
      </c>
      <c r="I1745" s="114" t="b">
        <v>0</v>
      </c>
      <c r="J1745" s="114" t="b">
        <v>0</v>
      </c>
      <c r="K1745" s="114" t="b">
        <v>0</v>
      </c>
      <c r="L1745" s="114" t="b">
        <v>0</v>
      </c>
    </row>
    <row r="1746" spans="1:12" ht="15">
      <c r="A1746" s="114" t="s">
        <v>1810</v>
      </c>
      <c r="B1746" s="114" t="s">
        <v>1771</v>
      </c>
      <c r="C1746" s="114">
        <v>2</v>
      </c>
      <c r="D1746" s="116">
        <v>0.003421069678626258</v>
      </c>
      <c r="E1746" s="116">
        <v>1.1072099696478683</v>
      </c>
      <c r="F1746" s="114" t="s">
        <v>1715</v>
      </c>
      <c r="G1746" s="114" t="b">
        <v>0</v>
      </c>
      <c r="H1746" s="114" t="b">
        <v>0</v>
      </c>
      <c r="I1746" s="114" t="b">
        <v>0</v>
      </c>
      <c r="J1746" s="114" t="b">
        <v>0</v>
      </c>
      <c r="K1746" s="114" t="b">
        <v>1</v>
      </c>
      <c r="L1746" s="114" t="b">
        <v>0</v>
      </c>
    </row>
    <row r="1747" spans="1:12" ht="15">
      <c r="A1747" s="114" t="s">
        <v>1771</v>
      </c>
      <c r="B1747" s="114" t="s">
        <v>1739</v>
      </c>
      <c r="C1747" s="114">
        <v>2</v>
      </c>
      <c r="D1747" s="116">
        <v>0.003421069678626258</v>
      </c>
      <c r="E1747" s="116">
        <v>0.9610819339696303</v>
      </c>
      <c r="F1747" s="114" t="s">
        <v>1715</v>
      </c>
      <c r="G1747" s="114" t="b">
        <v>0</v>
      </c>
      <c r="H1747" s="114" t="b">
        <v>1</v>
      </c>
      <c r="I1747" s="114" t="b">
        <v>0</v>
      </c>
      <c r="J1747" s="114" t="b">
        <v>0</v>
      </c>
      <c r="K1747" s="114" t="b">
        <v>0</v>
      </c>
      <c r="L1747" s="114" t="b">
        <v>0</v>
      </c>
    </row>
    <row r="1748" spans="1:12" ht="15">
      <c r="A1748" s="114" t="s">
        <v>1979</v>
      </c>
      <c r="B1748" s="114" t="s">
        <v>1978</v>
      </c>
      <c r="C1748" s="114">
        <v>2</v>
      </c>
      <c r="D1748" s="116">
        <v>0.004429545375993029</v>
      </c>
      <c r="E1748" s="116">
        <v>1.5843312243675307</v>
      </c>
      <c r="F1748" s="114" t="s">
        <v>1715</v>
      </c>
      <c r="G1748" s="114" t="b">
        <v>0</v>
      </c>
      <c r="H1748" s="114" t="b">
        <v>1</v>
      </c>
      <c r="I1748" s="114" t="b">
        <v>0</v>
      </c>
      <c r="J1748" s="114" t="b">
        <v>0</v>
      </c>
      <c r="K1748" s="114" t="b">
        <v>0</v>
      </c>
      <c r="L1748" s="114" t="b">
        <v>0</v>
      </c>
    </row>
    <row r="1749" spans="1:12" ht="15">
      <c r="A1749" s="114" t="s">
        <v>2229</v>
      </c>
      <c r="B1749" s="114" t="s">
        <v>2450</v>
      </c>
      <c r="C1749" s="114">
        <v>2</v>
      </c>
      <c r="D1749" s="116">
        <v>0.003421069678626258</v>
      </c>
      <c r="E1749" s="116">
        <v>2.2833012287035497</v>
      </c>
      <c r="F1749" s="114" t="s">
        <v>1715</v>
      </c>
      <c r="G1749" s="114" t="b">
        <v>0</v>
      </c>
      <c r="H1749" s="114" t="b">
        <v>0</v>
      </c>
      <c r="I1749" s="114" t="b">
        <v>0</v>
      </c>
      <c r="J1749" s="114" t="b">
        <v>0</v>
      </c>
      <c r="K1749" s="114" t="b">
        <v>0</v>
      </c>
      <c r="L1749" s="114" t="b">
        <v>0</v>
      </c>
    </row>
    <row r="1750" spans="1:12" ht="15">
      <c r="A1750" s="114" t="s">
        <v>2101</v>
      </c>
      <c r="B1750" s="114" t="s">
        <v>1883</v>
      </c>
      <c r="C1750" s="114">
        <v>2</v>
      </c>
      <c r="D1750" s="116">
        <v>0.004429545375993029</v>
      </c>
      <c r="E1750" s="116">
        <v>1.630088714928206</v>
      </c>
      <c r="F1750" s="114" t="s">
        <v>1715</v>
      </c>
      <c r="G1750" s="114" t="b">
        <v>1</v>
      </c>
      <c r="H1750" s="114" t="b">
        <v>0</v>
      </c>
      <c r="I1750" s="114" t="b">
        <v>0</v>
      </c>
      <c r="J1750" s="114" t="b">
        <v>0</v>
      </c>
      <c r="K1750" s="114" t="b">
        <v>0</v>
      </c>
      <c r="L1750" s="114" t="b">
        <v>0</v>
      </c>
    </row>
    <row r="1751" spans="1:12" ht="15">
      <c r="A1751" s="114" t="s">
        <v>1883</v>
      </c>
      <c r="B1751" s="114" t="s">
        <v>1883</v>
      </c>
      <c r="C1751" s="114">
        <v>2</v>
      </c>
      <c r="D1751" s="116">
        <v>0.004429545375993029</v>
      </c>
      <c r="E1751" s="116">
        <v>1.1072099696478683</v>
      </c>
      <c r="F1751" s="114" t="s">
        <v>1715</v>
      </c>
      <c r="G1751" s="114" t="b">
        <v>0</v>
      </c>
      <c r="H1751" s="114" t="b">
        <v>0</v>
      </c>
      <c r="I1751" s="114" t="b">
        <v>0</v>
      </c>
      <c r="J1751" s="114" t="b">
        <v>0</v>
      </c>
      <c r="K1751" s="114" t="b">
        <v>0</v>
      </c>
      <c r="L1751" s="114" t="b">
        <v>0</v>
      </c>
    </row>
    <row r="1752" spans="1:12" ht="15">
      <c r="A1752" s="114" t="s">
        <v>2231</v>
      </c>
      <c r="B1752" s="114" t="s">
        <v>2100</v>
      </c>
      <c r="C1752" s="114">
        <v>2</v>
      </c>
      <c r="D1752" s="116">
        <v>0.004429545375993029</v>
      </c>
      <c r="E1752" s="116">
        <v>1.9822712330395684</v>
      </c>
      <c r="F1752" s="114" t="s">
        <v>1715</v>
      </c>
      <c r="G1752" s="114" t="b">
        <v>0</v>
      </c>
      <c r="H1752" s="114" t="b">
        <v>0</v>
      </c>
      <c r="I1752" s="114" t="b">
        <v>0</v>
      </c>
      <c r="J1752" s="114" t="b">
        <v>0</v>
      </c>
      <c r="K1752" s="114" t="b">
        <v>0</v>
      </c>
      <c r="L1752" s="114" t="b">
        <v>0</v>
      </c>
    </row>
    <row r="1753" spans="1:12" ht="15">
      <c r="A1753" s="114" t="s">
        <v>2100</v>
      </c>
      <c r="B1753" s="114" t="s">
        <v>2231</v>
      </c>
      <c r="C1753" s="114">
        <v>2</v>
      </c>
      <c r="D1753" s="116">
        <v>0.004429545375993029</v>
      </c>
      <c r="E1753" s="116">
        <v>1.9822712330395684</v>
      </c>
      <c r="F1753" s="114" t="s">
        <v>1715</v>
      </c>
      <c r="G1753" s="114" t="b">
        <v>0</v>
      </c>
      <c r="H1753" s="114" t="b">
        <v>0</v>
      </c>
      <c r="I1753" s="114" t="b">
        <v>0</v>
      </c>
      <c r="J1753" s="114" t="b">
        <v>0</v>
      </c>
      <c r="K1753" s="114" t="b">
        <v>0</v>
      </c>
      <c r="L1753" s="114" t="b">
        <v>0</v>
      </c>
    </row>
    <row r="1754" spans="1:12" ht="15">
      <c r="A1754" s="114" t="s">
        <v>1761</v>
      </c>
      <c r="B1754" s="114" t="s">
        <v>1745</v>
      </c>
      <c r="C1754" s="114">
        <v>15</v>
      </c>
      <c r="D1754" s="116">
        <v>0.004804939886743103</v>
      </c>
      <c r="E1754" s="116">
        <v>0.9516024132731165</v>
      </c>
      <c r="F1754" s="114" t="s">
        <v>1716</v>
      </c>
      <c r="G1754" s="114" t="b">
        <v>0</v>
      </c>
      <c r="H1754" s="114" t="b">
        <v>0</v>
      </c>
      <c r="I1754" s="114" t="b">
        <v>0</v>
      </c>
      <c r="J1754" s="114" t="b">
        <v>0</v>
      </c>
      <c r="K1754" s="114" t="b">
        <v>0</v>
      </c>
      <c r="L1754" s="114" t="b">
        <v>0</v>
      </c>
    </row>
    <row r="1755" spans="1:12" ht="15">
      <c r="A1755" s="114" t="s">
        <v>1740</v>
      </c>
      <c r="B1755" s="114" t="s">
        <v>1740</v>
      </c>
      <c r="C1755" s="114">
        <v>11</v>
      </c>
      <c r="D1755" s="116">
        <v>0.009223732391722621</v>
      </c>
      <c r="E1755" s="116">
        <v>0.5642714304385626</v>
      </c>
      <c r="F1755" s="114" t="s">
        <v>1716</v>
      </c>
      <c r="G1755" s="114" t="b">
        <v>0</v>
      </c>
      <c r="H1755" s="114" t="b">
        <v>0</v>
      </c>
      <c r="I1755" s="114" t="b">
        <v>0</v>
      </c>
      <c r="J1755" s="114" t="b">
        <v>0</v>
      </c>
      <c r="K1755" s="114" t="b">
        <v>0</v>
      </c>
      <c r="L1755" s="114" t="b">
        <v>0</v>
      </c>
    </row>
    <row r="1756" spans="1:12" ht="15">
      <c r="A1756" s="114" t="s">
        <v>1812</v>
      </c>
      <c r="B1756" s="114" t="s">
        <v>1801</v>
      </c>
      <c r="C1756" s="114">
        <v>8</v>
      </c>
      <c r="D1756" s="116">
        <v>0.009481259705952164</v>
      </c>
      <c r="E1756" s="116">
        <v>1.6919651027673603</v>
      </c>
      <c r="F1756" s="114" t="s">
        <v>1716</v>
      </c>
      <c r="G1756" s="114" t="b">
        <v>0</v>
      </c>
      <c r="H1756" s="114" t="b">
        <v>0</v>
      </c>
      <c r="I1756" s="114" t="b">
        <v>0</v>
      </c>
      <c r="J1756" s="114" t="b">
        <v>0</v>
      </c>
      <c r="K1756" s="114" t="b">
        <v>0</v>
      </c>
      <c r="L1756" s="114" t="b">
        <v>0</v>
      </c>
    </row>
    <row r="1757" spans="1:12" ht="15">
      <c r="A1757" s="114" t="s">
        <v>1820</v>
      </c>
      <c r="B1757" s="114" t="s">
        <v>1740</v>
      </c>
      <c r="C1757" s="114">
        <v>6</v>
      </c>
      <c r="D1757" s="116">
        <v>0.010666417169196184</v>
      </c>
      <c r="E1757" s="116">
        <v>1.135662602000073</v>
      </c>
      <c r="F1757" s="114" t="s">
        <v>1716</v>
      </c>
      <c r="G1757" s="114" t="b">
        <v>0</v>
      </c>
      <c r="H1757" s="114" t="b">
        <v>0</v>
      </c>
      <c r="I1757" s="114" t="b">
        <v>0</v>
      </c>
      <c r="J1757" s="114" t="b">
        <v>0</v>
      </c>
      <c r="K1757" s="114" t="b">
        <v>0</v>
      </c>
      <c r="L1757" s="114" t="b">
        <v>0</v>
      </c>
    </row>
    <row r="1758" spans="1:12" ht="15">
      <c r="A1758" s="114" t="s">
        <v>1775</v>
      </c>
      <c r="B1758" s="114" t="s">
        <v>1761</v>
      </c>
      <c r="C1758" s="114">
        <v>6</v>
      </c>
      <c r="D1758" s="116">
        <v>0.00503112675912143</v>
      </c>
      <c r="E1758" s="116">
        <v>1.1179338350396415</v>
      </c>
      <c r="F1758" s="114" t="s">
        <v>1716</v>
      </c>
      <c r="G1758" s="114" t="b">
        <v>0</v>
      </c>
      <c r="H1758" s="114" t="b">
        <v>0</v>
      </c>
      <c r="I1758" s="114" t="b">
        <v>0</v>
      </c>
      <c r="J1758" s="114" t="b">
        <v>0</v>
      </c>
      <c r="K1758" s="114" t="b">
        <v>0</v>
      </c>
      <c r="L1758" s="114" t="b">
        <v>0</v>
      </c>
    </row>
    <row r="1759" spans="1:12" ht="15">
      <c r="A1759" s="114" t="s">
        <v>1740</v>
      </c>
      <c r="B1759" s="114" t="s">
        <v>1923</v>
      </c>
      <c r="C1759" s="114">
        <v>6</v>
      </c>
      <c r="D1759" s="116">
        <v>0.00503112675912143</v>
      </c>
      <c r="E1759" s="116">
        <v>1.0791812460476249</v>
      </c>
      <c r="F1759" s="114" t="s">
        <v>1716</v>
      </c>
      <c r="G1759" s="114" t="b">
        <v>0</v>
      </c>
      <c r="H1759" s="114" t="b">
        <v>0</v>
      </c>
      <c r="I1759" s="114" t="b">
        <v>0</v>
      </c>
      <c r="J1759" s="114" t="b">
        <v>0</v>
      </c>
      <c r="K1759" s="114" t="b">
        <v>0</v>
      </c>
      <c r="L1759" s="114" t="b">
        <v>0</v>
      </c>
    </row>
    <row r="1760" spans="1:12" ht="15">
      <c r="A1760" s="114" t="s">
        <v>1923</v>
      </c>
      <c r="B1760" s="114" t="s">
        <v>1830</v>
      </c>
      <c r="C1760" s="114">
        <v>6</v>
      </c>
      <c r="D1760" s="116">
        <v>0.00503112675912143</v>
      </c>
      <c r="E1760" s="116">
        <v>1.7888751157754166</v>
      </c>
      <c r="F1760" s="114" t="s">
        <v>1716</v>
      </c>
      <c r="G1760" s="114" t="b">
        <v>0</v>
      </c>
      <c r="H1760" s="114" t="b">
        <v>0</v>
      </c>
      <c r="I1760" s="114" t="b">
        <v>0</v>
      </c>
      <c r="J1760" s="114" t="b">
        <v>0</v>
      </c>
      <c r="K1760" s="114" t="b">
        <v>0</v>
      </c>
      <c r="L1760" s="114" t="b">
        <v>0</v>
      </c>
    </row>
    <row r="1761" spans="1:12" ht="15">
      <c r="A1761" s="114" t="s">
        <v>1949</v>
      </c>
      <c r="B1761" s="114" t="s">
        <v>1975</v>
      </c>
      <c r="C1761" s="114">
        <v>6</v>
      </c>
      <c r="D1761" s="116">
        <v>0.014221889558928245</v>
      </c>
      <c r="E1761" s="116">
        <v>1.9138138523837167</v>
      </c>
      <c r="F1761" s="114" t="s">
        <v>1716</v>
      </c>
      <c r="G1761" s="114" t="b">
        <v>0</v>
      </c>
      <c r="H1761" s="114" t="b">
        <v>0</v>
      </c>
      <c r="I1761" s="114" t="b">
        <v>0</v>
      </c>
      <c r="J1761" s="114" t="b">
        <v>0</v>
      </c>
      <c r="K1761" s="114" t="b">
        <v>0</v>
      </c>
      <c r="L1761" s="114" t="b">
        <v>0</v>
      </c>
    </row>
    <row r="1762" spans="1:12" ht="15">
      <c r="A1762" s="114" t="s">
        <v>1745</v>
      </c>
      <c r="B1762" s="114" t="s">
        <v>1745</v>
      </c>
      <c r="C1762" s="114">
        <v>5</v>
      </c>
      <c r="D1762" s="116">
        <v>0.007155499290711243</v>
      </c>
      <c r="E1762" s="116">
        <v>-0.08979027188510857</v>
      </c>
      <c r="F1762" s="114" t="s">
        <v>1716</v>
      </c>
      <c r="G1762" s="114" t="b">
        <v>0</v>
      </c>
      <c r="H1762" s="114" t="b">
        <v>0</v>
      </c>
      <c r="I1762" s="114" t="b">
        <v>0</v>
      </c>
      <c r="J1762" s="114" t="b">
        <v>0</v>
      </c>
      <c r="K1762" s="114" t="b">
        <v>0</v>
      </c>
      <c r="L1762" s="114" t="b">
        <v>0</v>
      </c>
    </row>
    <row r="1763" spans="1:12" ht="15">
      <c r="A1763" s="114" t="s">
        <v>1775</v>
      </c>
      <c r="B1763" s="114" t="s">
        <v>1745</v>
      </c>
      <c r="C1763" s="114">
        <v>5</v>
      </c>
      <c r="D1763" s="116">
        <v>0.008888680974330153</v>
      </c>
      <c r="E1763" s="116">
        <v>0.4744811585534541</v>
      </c>
      <c r="F1763" s="114" t="s">
        <v>1716</v>
      </c>
      <c r="G1763" s="114" t="b">
        <v>0</v>
      </c>
      <c r="H1763" s="114" t="b">
        <v>0</v>
      </c>
      <c r="I1763" s="114" t="b">
        <v>0</v>
      </c>
      <c r="J1763" s="114" t="b">
        <v>0</v>
      </c>
      <c r="K1763" s="114" t="b">
        <v>0</v>
      </c>
      <c r="L1763" s="114" t="b">
        <v>0</v>
      </c>
    </row>
    <row r="1764" spans="1:12" ht="15">
      <c r="A1764" s="114" t="s">
        <v>1740</v>
      </c>
      <c r="B1764" s="114" t="s">
        <v>1792</v>
      </c>
      <c r="C1764" s="114">
        <v>4</v>
      </c>
      <c r="D1764" s="116">
        <v>0.007110944779464122</v>
      </c>
      <c r="E1764" s="116">
        <v>1.0791812460476249</v>
      </c>
      <c r="F1764" s="114" t="s">
        <v>1716</v>
      </c>
      <c r="G1764" s="114" t="b">
        <v>0</v>
      </c>
      <c r="H1764" s="114" t="b">
        <v>0</v>
      </c>
      <c r="I1764" s="114" t="b">
        <v>0</v>
      </c>
      <c r="J1764" s="114" t="b">
        <v>0</v>
      </c>
      <c r="K1764" s="114" t="b">
        <v>0</v>
      </c>
      <c r="L1764" s="114" t="b">
        <v>0</v>
      </c>
    </row>
    <row r="1765" spans="1:12" ht="15">
      <c r="A1765" s="114" t="s">
        <v>1740</v>
      </c>
      <c r="B1765" s="114" t="s">
        <v>1745</v>
      </c>
      <c r="C1765" s="114">
        <v>4</v>
      </c>
      <c r="D1765" s="116">
        <v>0.007110944779464122</v>
      </c>
      <c r="E1765" s="116">
        <v>-0.05912145211865654</v>
      </c>
      <c r="F1765" s="114" t="s">
        <v>1716</v>
      </c>
      <c r="G1765" s="114" t="b">
        <v>0</v>
      </c>
      <c r="H1765" s="114" t="b">
        <v>0</v>
      </c>
      <c r="I1765" s="114" t="b">
        <v>0</v>
      </c>
      <c r="J1765" s="114" t="b">
        <v>0</v>
      </c>
      <c r="K1765" s="114" t="b">
        <v>0</v>
      </c>
      <c r="L1765" s="114" t="b">
        <v>0</v>
      </c>
    </row>
    <row r="1766" spans="1:12" ht="15">
      <c r="A1766" s="114" t="s">
        <v>1925</v>
      </c>
      <c r="B1766" s="114" t="s">
        <v>1926</v>
      </c>
      <c r="C1766" s="114">
        <v>4</v>
      </c>
      <c r="D1766" s="116">
        <v>0.009481259705952164</v>
      </c>
      <c r="E1766" s="116">
        <v>2.089905111439398</v>
      </c>
      <c r="F1766" s="114" t="s">
        <v>1716</v>
      </c>
      <c r="G1766" s="114" t="b">
        <v>0</v>
      </c>
      <c r="H1766" s="114" t="b">
        <v>0</v>
      </c>
      <c r="I1766" s="114" t="b">
        <v>0</v>
      </c>
      <c r="J1766" s="114" t="b">
        <v>0</v>
      </c>
      <c r="K1766" s="114" t="b">
        <v>0</v>
      </c>
      <c r="L1766" s="114" t="b">
        <v>0</v>
      </c>
    </row>
    <row r="1767" spans="1:12" ht="15">
      <c r="A1767" s="114" t="s">
        <v>1757</v>
      </c>
      <c r="B1767" s="114" t="s">
        <v>1791</v>
      </c>
      <c r="C1767" s="114">
        <v>3</v>
      </c>
      <c r="D1767" s="116">
        <v>0.005333208584598092</v>
      </c>
      <c r="E1767" s="116">
        <v>1.9929950984313414</v>
      </c>
      <c r="F1767" s="114" t="s">
        <v>1716</v>
      </c>
      <c r="G1767" s="114" t="b">
        <v>0</v>
      </c>
      <c r="H1767" s="114" t="b">
        <v>0</v>
      </c>
      <c r="I1767" s="114" t="b">
        <v>0</v>
      </c>
      <c r="J1767" s="114" t="b">
        <v>0</v>
      </c>
      <c r="K1767" s="114" t="b">
        <v>0</v>
      </c>
      <c r="L1767" s="114" t="b">
        <v>0</v>
      </c>
    </row>
    <row r="1768" spans="1:12" ht="15">
      <c r="A1768" s="114" t="s">
        <v>1791</v>
      </c>
      <c r="B1768" s="114" t="s">
        <v>1740</v>
      </c>
      <c r="C1768" s="114">
        <v>3</v>
      </c>
      <c r="D1768" s="116">
        <v>0.005333208584598092</v>
      </c>
      <c r="E1768" s="116">
        <v>1.135662602000073</v>
      </c>
      <c r="F1768" s="114" t="s">
        <v>1716</v>
      </c>
      <c r="G1768" s="114" t="b">
        <v>0</v>
      </c>
      <c r="H1768" s="114" t="b">
        <v>0</v>
      </c>
      <c r="I1768" s="114" t="b">
        <v>0</v>
      </c>
      <c r="J1768" s="114" t="b">
        <v>0</v>
      </c>
      <c r="K1768" s="114" t="b">
        <v>0</v>
      </c>
      <c r="L1768" s="114" t="b">
        <v>0</v>
      </c>
    </row>
    <row r="1769" spans="1:12" ht="15">
      <c r="A1769" s="114" t="s">
        <v>1766</v>
      </c>
      <c r="B1769" s="114" t="s">
        <v>1740</v>
      </c>
      <c r="C1769" s="114">
        <v>3</v>
      </c>
      <c r="D1769" s="116">
        <v>0.004293299574426746</v>
      </c>
      <c r="E1769" s="116">
        <v>1.135662602000073</v>
      </c>
      <c r="F1769" s="114" t="s">
        <v>1716</v>
      </c>
      <c r="G1769" s="114" t="b">
        <v>0</v>
      </c>
      <c r="H1769" s="114" t="b">
        <v>1</v>
      </c>
      <c r="I1769" s="114" t="b">
        <v>0</v>
      </c>
      <c r="J1769" s="114" t="b">
        <v>0</v>
      </c>
      <c r="K1769" s="114" t="b">
        <v>0</v>
      </c>
      <c r="L1769" s="114" t="b">
        <v>0</v>
      </c>
    </row>
    <row r="1770" spans="1:12" ht="15">
      <c r="A1770" s="114" t="s">
        <v>1745</v>
      </c>
      <c r="B1770" s="114" t="s">
        <v>1764</v>
      </c>
      <c r="C1770" s="114">
        <v>3</v>
      </c>
      <c r="D1770" s="116">
        <v>0.007110944779464123</v>
      </c>
      <c r="E1770" s="116">
        <v>0.5836256279785221</v>
      </c>
      <c r="F1770" s="114" t="s">
        <v>1716</v>
      </c>
      <c r="G1770" s="114" t="b">
        <v>0</v>
      </c>
      <c r="H1770" s="114" t="b">
        <v>0</v>
      </c>
      <c r="I1770" s="114" t="b">
        <v>0</v>
      </c>
      <c r="J1770" s="114" t="b">
        <v>0</v>
      </c>
      <c r="K1770" s="114" t="b">
        <v>0</v>
      </c>
      <c r="L1770" s="114" t="b">
        <v>0</v>
      </c>
    </row>
    <row r="1771" spans="1:12" ht="15">
      <c r="A1771" s="114" t="s">
        <v>1741</v>
      </c>
      <c r="B1771" s="114" t="s">
        <v>1743</v>
      </c>
      <c r="C1771" s="114">
        <v>3</v>
      </c>
      <c r="D1771" s="116">
        <v>0.004293299574426746</v>
      </c>
      <c r="E1771" s="116">
        <v>2.214843848047698</v>
      </c>
      <c r="F1771" s="114" t="s">
        <v>1716</v>
      </c>
      <c r="G1771" s="114" t="b">
        <v>0</v>
      </c>
      <c r="H1771" s="114" t="b">
        <v>0</v>
      </c>
      <c r="I1771" s="114" t="b">
        <v>0</v>
      </c>
      <c r="J1771" s="114" t="b">
        <v>0</v>
      </c>
      <c r="K1771" s="114" t="b">
        <v>0</v>
      </c>
      <c r="L1771" s="114" t="b">
        <v>0</v>
      </c>
    </row>
    <row r="1772" spans="1:12" ht="15">
      <c r="A1772" s="114" t="s">
        <v>2093</v>
      </c>
      <c r="B1772" s="114" t="s">
        <v>2227</v>
      </c>
      <c r="C1772" s="114">
        <v>3</v>
      </c>
      <c r="D1772" s="116">
        <v>0.007110944779464123</v>
      </c>
      <c r="E1772" s="116">
        <v>2.089905111439398</v>
      </c>
      <c r="F1772" s="114" t="s">
        <v>1716</v>
      </c>
      <c r="G1772" s="114" t="b">
        <v>0</v>
      </c>
      <c r="H1772" s="114" t="b">
        <v>0</v>
      </c>
      <c r="I1772" s="114" t="b">
        <v>0</v>
      </c>
      <c r="J1772" s="114" t="b">
        <v>0</v>
      </c>
      <c r="K1772" s="114" t="b">
        <v>0</v>
      </c>
      <c r="L1772" s="114" t="b">
        <v>0</v>
      </c>
    </row>
    <row r="1773" spans="1:12" ht="15">
      <c r="A1773" s="114" t="s">
        <v>2225</v>
      </c>
      <c r="B1773" s="114" t="s">
        <v>2226</v>
      </c>
      <c r="C1773" s="114">
        <v>3</v>
      </c>
      <c r="D1773" s="116">
        <v>0.007110944779464123</v>
      </c>
      <c r="E1773" s="116">
        <v>2.214843848047698</v>
      </c>
      <c r="F1773" s="114" t="s">
        <v>1716</v>
      </c>
      <c r="G1773" s="114" t="b">
        <v>0</v>
      </c>
      <c r="H1773" s="114" t="b">
        <v>0</v>
      </c>
      <c r="I1773" s="114" t="b">
        <v>0</v>
      </c>
      <c r="J1773" s="114" t="b">
        <v>0</v>
      </c>
      <c r="K1773" s="114" t="b">
        <v>0</v>
      </c>
      <c r="L1773" s="114" t="b">
        <v>0</v>
      </c>
    </row>
    <row r="1774" spans="1:12" ht="15">
      <c r="A1774" s="114" t="s">
        <v>1830</v>
      </c>
      <c r="B1774" s="114" t="s">
        <v>1775</v>
      </c>
      <c r="C1774" s="114">
        <v>3</v>
      </c>
      <c r="D1774" s="116">
        <v>0.004293299574426746</v>
      </c>
      <c r="E1774" s="116">
        <v>1.0899051114393978</v>
      </c>
      <c r="F1774" s="114" t="s">
        <v>1716</v>
      </c>
      <c r="G1774" s="114" t="b">
        <v>0</v>
      </c>
      <c r="H1774" s="114" t="b">
        <v>0</v>
      </c>
      <c r="I1774" s="114" t="b">
        <v>0</v>
      </c>
      <c r="J1774" s="114" t="b">
        <v>0</v>
      </c>
      <c r="K1774" s="114" t="b">
        <v>0</v>
      </c>
      <c r="L1774" s="114" t="b">
        <v>0</v>
      </c>
    </row>
    <row r="1775" spans="1:12" ht="15">
      <c r="A1775" s="114" t="s">
        <v>1922</v>
      </c>
      <c r="B1775" s="114" t="s">
        <v>1808</v>
      </c>
      <c r="C1775" s="114">
        <v>2</v>
      </c>
      <c r="D1775" s="116">
        <v>0.003555472389732061</v>
      </c>
      <c r="E1775" s="116">
        <v>2.214843848047698</v>
      </c>
      <c r="F1775" s="114" t="s">
        <v>1716</v>
      </c>
      <c r="G1775" s="114" t="b">
        <v>0</v>
      </c>
      <c r="H1775" s="114" t="b">
        <v>0</v>
      </c>
      <c r="I1775" s="114" t="b">
        <v>0</v>
      </c>
      <c r="J1775" s="114" t="b">
        <v>0</v>
      </c>
      <c r="K1775" s="114" t="b">
        <v>0</v>
      </c>
      <c r="L1775" s="114" t="b">
        <v>0</v>
      </c>
    </row>
    <row r="1776" spans="1:12" ht="15">
      <c r="A1776" s="114" t="s">
        <v>1808</v>
      </c>
      <c r="B1776" s="114" t="s">
        <v>1740</v>
      </c>
      <c r="C1776" s="114">
        <v>2</v>
      </c>
      <c r="D1776" s="116">
        <v>0.003555472389732061</v>
      </c>
      <c r="E1776" s="116">
        <v>0.9595713429443918</v>
      </c>
      <c r="F1776" s="114" t="s">
        <v>1716</v>
      </c>
      <c r="G1776" s="114" t="b">
        <v>0</v>
      </c>
      <c r="H1776" s="114" t="b">
        <v>0</v>
      </c>
      <c r="I1776" s="114" t="b">
        <v>0</v>
      </c>
      <c r="J1776" s="114" t="b">
        <v>0</v>
      </c>
      <c r="K1776" s="114" t="b">
        <v>0</v>
      </c>
      <c r="L1776" s="114" t="b">
        <v>0</v>
      </c>
    </row>
    <row r="1777" spans="1:12" ht="15">
      <c r="A1777" s="114" t="s">
        <v>1792</v>
      </c>
      <c r="B1777" s="114" t="s">
        <v>1757</v>
      </c>
      <c r="C1777" s="114">
        <v>2</v>
      </c>
      <c r="D1777" s="116">
        <v>0.003555472389732061</v>
      </c>
      <c r="E1777" s="116">
        <v>1.6919651027673603</v>
      </c>
      <c r="F1777" s="114" t="s">
        <v>1716</v>
      </c>
      <c r="G1777" s="114" t="b">
        <v>0</v>
      </c>
      <c r="H1777" s="114" t="b">
        <v>0</v>
      </c>
      <c r="I1777" s="114" t="b">
        <v>0</v>
      </c>
      <c r="J1777" s="114" t="b">
        <v>0</v>
      </c>
      <c r="K1777" s="114" t="b">
        <v>0</v>
      </c>
      <c r="L1777" s="114" t="b">
        <v>0</v>
      </c>
    </row>
    <row r="1778" spans="1:12" ht="15">
      <c r="A1778" s="114" t="s">
        <v>1757</v>
      </c>
      <c r="B1778" s="114" t="s">
        <v>1757</v>
      </c>
      <c r="C1778" s="114">
        <v>2</v>
      </c>
      <c r="D1778" s="116">
        <v>0.003555472389732061</v>
      </c>
      <c r="E1778" s="116">
        <v>1.5950550897593039</v>
      </c>
      <c r="F1778" s="114" t="s">
        <v>1716</v>
      </c>
      <c r="G1778" s="114" t="b">
        <v>0</v>
      </c>
      <c r="H1778" s="114" t="b">
        <v>0</v>
      </c>
      <c r="I1778" s="114" t="b">
        <v>0</v>
      </c>
      <c r="J1778" s="114" t="b">
        <v>0</v>
      </c>
      <c r="K1778" s="114" t="b">
        <v>0</v>
      </c>
      <c r="L1778" s="114" t="b">
        <v>0</v>
      </c>
    </row>
    <row r="1779" spans="1:12" ht="15">
      <c r="A1779" s="114" t="s">
        <v>1740</v>
      </c>
      <c r="B1779" s="114" t="s">
        <v>1900</v>
      </c>
      <c r="C1779" s="114">
        <v>2</v>
      </c>
      <c r="D1779" s="116">
        <v>0.003555472389732061</v>
      </c>
      <c r="E1779" s="116">
        <v>1.0791812460476249</v>
      </c>
      <c r="F1779" s="114" t="s">
        <v>1716</v>
      </c>
      <c r="G1779" s="114" t="b">
        <v>0</v>
      </c>
      <c r="H1779" s="114" t="b">
        <v>0</v>
      </c>
      <c r="I1779" s="114" t="b">
        <v>0</v>
      </c>
      <c r="J1779" s="114" t="b">
        <v>0</v>
      </c>
      <c r="K1779" s="114" t="b">
        <v>0</v>
      </c>
      <c r="L1779" s="114" t="b">
        <v>0</v>
      </c>
    </row>
    <row r="1780" spans="1:12" ht="15">
      <c r="A1780" s="114" t="s">
        <v>1900</v>
      </c>
      <c r="B1780" s="114" t="s">
        <v>1766</v>
      </c>
      <c r="C1780" s="114">
        <v>2</v>
      </c>
      <c r="D1780" s="116">
        <v>0.003555472389732061</v>
      </c>
      <c r="E1780" s="116">
        <v>2.214843848047698</v>
      </c>
      <c r="F1780" s="114" t="s">
        <v>1716</v>
      </c>
      <c r="G1780" s="114" t="b">
        <v>0</v>
      </c>
      <c r="H1780" s="114" t="b">
        <v>0</v>
      </c>
      <c r="I1780" s="114" t="b">
        <v>0</v>
      </c>
      <c r="J1780" s="114" t="b">
        <v>0</v>
      </c>
      <c r="K1780" s="114" t="b">
        <v>1</v>
      </c>
      <c r="L1780" s="114" t="b">
        <v>0</v>
      </c>
    </row>
    <row r="1781" spans="1:12" ht="15">
      <c r="A1781" s="114" t="s">
        <v>1740</v>
      </c>
      <c r="B1781" s="114" t="s">
        <v>1809</v>
      </c>
      <c r="C1781" s="114">
        <v>2</v>
      </c>
      <c r="D1781" s="116">
        <v>0.003555472389732061</v>
      </c>
      <c r="E1781" s="116">
        <v>0.7781512503836437</v>
      </c>
      <c r="F1781" s="114" t="s">
        <v>1716</v>
      </c>
      <c r="G1781" s="114" t="b">
        <v>0</v>
      </c>
      <c r="H1781" s="114" t="b">
        <v>0</v>
      </c>
      <c r="I1781" s="114" t="b">
        <v>0</v>
      </c>
      <c r="J1781" s="114" t="b">
        <v>0</v>
      </c>
      <c r="K1781" s="114" t="b">
        <v>0</v>
      </c>
      <c r="L1781" s="114" t="b">
        <v>0</v>
      </c>
    </row>
    <row r="1782" spans="1:12" ht="15">
      <c r="A1782" s="114" t="s">
        <v>1809</v>
      </c>
      <c r="B1782" s="114" t="s">
        <v>1809</v>
      </c>
      <c r="C1782" s="114">
        <v>2</v>
      </c>
      <c r="D1782" s="116">
        <v>0.003555472389732061</v>
      </c>
      <c r="E1782" s="116">
        <v>1.7888751157754168</v>
      </c>
      <c r="F1782" s="114" t="s">
        <v>1716</v>
      </c>
      <c r="G1782" s="114" t="b">
        <v>0</v>
      </c>
      <c r="H1782" s="114" t="b">
        <v>0</v>
      </c>
      <c r="I1782" s="114" t="b">
        <v>0</v>
      </c>
      <c r="J1782" s="114" t="b">
        <v>0</v>
      </c>
      <c r="K1782" s="114" t="b">
        <v>0</v>
      </c>
      <c r="L1782" s="114" t="b">
        <v>0</v>
      </c>
    </row>
    <row r="1783" spans="1:12" ht="15">
      <c r="A1783" s="114" t="s">
        <v>1809</v>
      </c>
      <c r="B1783" s="114" t="s">
        <v>1740</v>
      </c>
      <c r="C1783" s="114">
        <v>2</v>
      </c>
      <c r="D1783" s="116">
        <v>0.003555472389732061</v>
      </c>
      <c r="E1783" s="116">
        <v>0.8346326063360919</v>
      </c>
      <c r="F1783" s="114" t="s">
        <v>1716</v>
      </c>
      <c r="G1783" s="114" t="b">
        <v>0</v>
      </c>
      <c r="H1783" s="114" t="b">
        <v>0</v>
      </c>
      <c r="I1783" s="114" t="b">
        <v>0</v>
      </c>
      <c r="J1783" s="114" t="b">
        <v>0</v>
      </c>
      <c r="K1783" s="114" t="b">
        <v>0</v>
      </c>
      <c r="L1783" s="114" t="b">
        <v>0</v>
      </c>
    </row>
    <row r="1784" spans="1:12" ht="15">
      <c r="A1784" s="114" t="s">
        <v>1792</v>
      </c>
      <c r="B1784" s="114" t="s">
        <v>1740</v>
      </c>
      <c r="C1784" s="114">
        <v>2</v>
      </c>
      <c r="D1784" s="116">
        <v>0.003555472389732061</v>
      </c>
      <c r="E1784" s="116">
        <v>0.8346326063360919</v>
      </c>
      <c r="F1784" s="114" t="s">
        <v>1716</v>
      </c>
      <c r="G1784" s="114" t="b">
        <v>0</v>
      </c>
      <c r="H1784" s="114" t="b">
        <v>0</v>
      </c>
      <c r="I1784" s="114" t="b">
        <v>0</v>
      </c>
      <c r="J1784" s="114" t="b">
        <v>0</v>
      </c>
      <c r="K1784" s="114" t="b">
        <v>0</v>
      </c>
      <c r="L1784" s="114" t="b">
        <v>0</v>
      </c>
    </row>
    <row r="1785" spans="1:12" ht="15">
      <c r="A1785" s="114" t="s">
        <v>1740</v>
      </c>
      <c r="B1785" s="114" t="s">
        <v>1776</v>
      </c>
      <c r="C1785" s="114">
        <v>2</v>
      </c>
      <c r="D1785" s="116">
        <v>0.003555472389732061</v>
      </c>
      <c r="E1785" s="116">
        <v>0.7781512503836437</v>
      </c>
      <c r="F1785" s="114" t="s">
        <v>1716</v>
      </c>
      <c r="G1785" s="114" t="b">
        <v>0</v>
      </c>
      <c r="H1785" s="114" t="b">
        <v>0</v>
      </c>
      <c r="I1785" s="114" t="b">
        <v>0</v>
      </c>
      <c r="J1785" s="114" t="b">
        <v>0</v>
      </c>
      <c r="K1785" s="114" t="b">
        <v>0</v>
      </c>
      <c r="L1785" s="114" t="b">
        <v>0</v>
      </c>
    </row>
    <row r="1786" spans="1:12" ht="15">
      <c r="A1786" s="114" t="s">
        <v>1776</v>
      </c>
      <c r="B1786" s="114" t="s">
        <v>1776</v>
      </c>
      <c r="C1786" s="114">
        <v>2</v>
      </c>
      <c r="D1786" s="116">
        <v>0.003555472389732061</v>
      </c>
      <c r="E1786" s="116">
        <v>1.7888751157754168</v>
      </c>
      <c r="F1786" s="114" t="s">
        <v>1716</v>
      </c>
      <c r="G1786" s="114" t="b">
        <v>0</v>
      </c>
      <c r="H1786" s="114" t="b">
        <v>0</v>
      </c>
      <c r="I1786" s="114" t="b">
        <v>0</v>
      </c>
      <c r="J1786" s="114" t="b">
        <v>0</v>
      </c>
      <c r="K1786" s="114" t="b">
        <v>0</v>
      </c>
      <c r="L1786" s="114" t="b">
        <v>0</v>
      </c>
    </row>
    <row r="1787" spans="1:12" ht="15">
      <c r="A1787" s="114" t="s">
        <v>1776</v>
      </c>
      <c r="B1787" s="114" t="s">
        <v>1897</v>
      </c>
      <c r="C1787" s="114">
        <v>2</v>
      </c>
      <c r="D1787" s="116">
        <v>0.003555472389732061</v>
      </c>
      <c r="E1787" s="116">
        <v>2.089905111439398</v>
      </c>
      <c r="F1787" s="114" t="s">
        <v>1716</v>
      </c>
      <c r="G1787" s="114" t="b">
        <v>0</v>
      </c>
      <c r="H1787" s="114" t="b">
        <v>0</v>
      </c>
      <c r="I1787" s="114" t="b">
        <v>0</v>
      </c>
      <c r="J1787" s="114" t="b">
        <v>0</v>
      </c>
      <c r="K1787" s="114" t="b">
        <v>0</v>
      </c>
      <c r="L1787" s="114" t="b">
        <v>0</v>
      </c>
    </row>
    <row r="1788" spans="1:12" ht="15">
      <c r="A1788" s="114" t="s">
        <v>1740</v>
      </c>
      <c r="B1788" s="114" t="s">
        <v>1820</v>
      </c>
      <c r="C1788" s="114">
        <v>2</v>
      </c>
      <c r="D1788" s="116">
        <v>0.003555472389732061</v>
      </c>
      <c r="E1788" s="116">
        <v>0.7781512503836437</v>
      </c>
      <c r="F1788" s="114" t="s">
        <v>1716</v>
      </c>
      <c r="G1788" s="114" t="b">
        <v>0</v>
      </c>
      <c r="H1788" s="114" t="b">
        <v>0</v>
      </c>
      <c r="I1788" s="114" t="b">
        <v>0</v>
      </c>
      <c r="J1788" s="114" t="b">
        <v>0</v>
      </c>
      <c r="K1788" s="114" t="b">
        <v>0</v>
      </c>
      <c r="L1788" s="114" t="b">
        <v>0</v>
      </c>
    </row>
    <row r="1789" spans="1:12" ht="15">
      <c r="A1789" s="114" t="s">
        <v>1745</v>
      </c>
      <c r="B1789" s="114" t="s">
        <v>1761</v>
      </c>
      <c r="C1789" s="114">
        <v>2</v>
      </c>
      <c r="D1789" s="116">
        <v>0.003555472389732061</v>
      </c>
      <c r="E1789" s="116">
        <v>0.07654114988141648</v>
      </c>
      <c r="F1789" s="114" t="s">
        <v>1716</v>
      </c>
      <c r="G1789" s="114" t="b">
        <v>0</v>
      </c>
      <c r="H1789" s="114" t="b">
        <v>0</v>
      </c>
      <c r="I1789" s="114" t="b">
        <v>0</v>
      </c>
      <c r="J1789" s="114" t="b">
        <v>0</v>
      </c>
      <c r="K1789" s="114" t="b">
        <v>0</v>
      </c>
      <c r="L1789" s="114" t="b">
        <v>0</v>
      </c>
    </row>
    <row r="1790" spans="1:12" ht="15">
      <c r="A1790" s="114" t="s">
        <v>1745</v>
      </c>
      <c r="B1790" s="114" t="s">
        <v>1820</v>
      </c>
      <c r="C1790" s="114">
        <v>2</v>
      </c>
      <c r="D1790" s="116">
        <v>0.004740629852976082</v>
      </c>
      <c r="E1790" s="116">
        <v>0.6505724176091353</v>
      </c>
      <c r="F1790" s="114" t="s">
        <v>1716</v>
      </c>
      <c r="G1790" s="114" t="b">
        <v>0</v>
      </c>
      <c r="H1790" s="114" t="b">
        <v>0</v>
      </c>
      <c r="I1790" s="114" t="b">
        <v>0</v>
      </c>
      <c r="J1790" s="114" t="b">
        <v>0</v>
      </c>
      <c r="K1790" s="114" t="b">
        <v>0</v>
      </c>
      <c r="L1790" s="114" t="b">
        <v>0</v>
      </c>
    </row>
    <row r="1791" spans="1:12" ht="15">
      <c r="A1791" s="114" t="s">
        <v>1782</v>
      </c>
      <c r="B1791" s="114" t="s">
        <v>1745</v>
      </c>
      <c r="C1791" s="114">
        <v>2</v>
      </c>
      <c r="D1791" s="116">
        <v>0.004740629852976082</v>
      </c>
      <c r="E1791" s="116">
        <v>0.7755111542174352</v>
      </c>
      <c r="F1791" s="114" t="s">
        <v>1716</v>
      </c>
      <c r="G1791" s="114" t="b">
        <v>0</v>
      </c>
      <c r="H1791" s="114" t="b">
        <v>0</v>
      </c>
      <c r="I1791" s="114" t="b">
        <v>0</v>
      </c>
      <c r="J1791" s="114" t="b">
        <v>0</v>
      </c>
      <c r="K1791" s="114" t="b">
        <v>0</v>
      </c>
      <c r="L1791" s="114" t="b">
        <v>0</v>
      </c>
    </row>
    <row r="1792" spans="1:12" ht="15">
      <c r="A1792" s="114" t="s">
        <v>1764</v>
      </c>
      <c r="B1792" s="114" t="s">
        <v>2445</v>
      </c>
      <c r="C1792" s="114">
        <v>2</v>
      </c>
      <c r="D1792" s="116">
        <v>0.004740629852976082</v>
      </c>
      <c r="E1792" s="116">
        <v>1.8468670627531036</v>
      </c>
      <c r="F1792" s="114" t="s">
        <v>1716</v>
      </c>
      <c r="G1792" s="114" t="b">
        <v>0</v>
      </c>
      <c r="H1792" s="114" t="b">
        <v>0</v>
      </c>
      <c r="I1792" s="114" t="b">
        <v>0</v>
      </c>
      <c r="J1792" s="114" t="b">
        <v>1</v>
      </c>
      <c r="K1792" s="114" t="b">
        <v>0</v>
      </c>
      <c r="L1792" s="114" t="b">
        <v>0</v>
      </c>
    </row>
    <row r="1793" spans="1:12" ht="15">
      <c r="A1793" s="114" t="s">
        <v>2446</v>
      </c>
      <c r="B1793" s="114" t="s">
        <v>2447</v>
      </c>
      <c r="C1793" s="114">
        <v>2</v>
      </c>
      <c r="D1793" s="116">
        <v>0.004740629852976082</v>
      </c>
      <c r="E1793" s="116">
        <v>2.3909351071033793</v>
      </c>
      <c r="F1793" s="114" t="s">
        <v>1716</v>
      </c>
      <c r="G1793" s="114" t="b">
        <v>0</v>
      </c>
      <c r="H1793" s="114" t="b">
        <v>0</v>
      </c>
      <c r="I1793" s="114" t="b">
        <v>0</v>
      </c>
      <c r="J1793" s="114" t="b">
        <v>0</v>
      </c>
      <c r="K1793" s="114" t="b">
        <v>0</v>
      </c>
      <c r="L1793" s="114" t="b">
        <v>0</v>
      </c>
    </row>
    <row r="1794" spans="1:12" ht="15">
      <c r="A1794" s="114" t="s">
        <v>2447</v>
      </c>
      <c r="B1794" s="114" t="s">
        <v>1745</v>
      </c>
      <c r="C1794" s="114">
        <v>2</v>
      </c>
      <c r="D1794" s="116">
        <v>0.004740629852976082</v>
      </c>
      <c r="E1794" s="116">
        <v>0.9516024132731165</v>
      </c>
      <c r="F1794" s="114" t="s">
        <v>1716</v>
      </c>
      <c r="G1794" s="114" t="b">
        <v>0</v>
      </c>
      <c r="H1794" s="114" t="b">
        <v>0</v>
      </c>
      <c r="I1794" s="114" t="b">
        <v>0</v>
      </c>
      <c r="J1794" s="114" t="b">
        <v>0</v>
      </c>
      <c r="K1794" s="114" t="b">
        <v>0</v>
      </c>
      <c r="L1794" s="114" t="b">
        <v>0</v>
      </c>
    </row>
    <row r="1795" spans="1:12" ht="15">
      <c r="A1795" s="114" t="s">
        <v>1745</v>
      </c>
      <c r="B1795" s="114" t="s">
        <v>1882</v>
      </c>
      <c r="C1795" s="114">
        <v>2</v>
      </c>
      <c r="D1795" s="116">
        <v>0.004740629852976082</v>
      </c>
      <c r="E1795" s="116">
        <v>0.6505724176091353</v>
      </c>
      <c r="F1795" s="114" t="s">
        <v>1716</v>
      </c>
      <c r="G1795" s="114" t="b">
        <v>0</v>
      </c>
      <c r="H1795" s="114" t="b">
        <v>0</v>
      </c>
      <c r="I1795" s="114" t="b">
        <v>0</v>
      </c>
      <c r="J1795" s="114" t="b">
        <v>0</v>
      </c>
      <c r="K1795" s="114" t="b">
        <v>0</v>
      </c>
      <c r="L1795" s="114" t="b">
        <v>0</v>
      </c>
    </row>
    <row r="1796" spans="1:12" ht="15">
      <c r="A1796" s="114" t="s">
        <v>1882</v>
      </c>
      <c r="B1796" s="114" t="s">
        <v>1745</v>
      </c>
      <c r="C1796" s="114">
        <v>2</v>
      </c>
      <c r="D1796" s="116">
        <v>0.004740629852976082</v>
      </c>
      <c r="E1796" s="116">
        <v>0.6505724176091353</v>
      </c>
      <c r="F1796" s="114" t="s">
        <v>1716</v>
      </c>
      <c r="G1796" s="114" t="b">
        <v>0</v>
      </c>
      <c r="H1796" s="114" t="b">
        <v>0</v>
      </c>
      <c r="I1796" s="114" t="b">
        <v>0</v>
      </c>
      <c r="J1796" s="114" t="b">
        <v>0</v>
      </c>
      <c r="K1796" s="114" t="b">
        <v>0</v>
      </c>
      <c r="L1796" s="114" t="b">
        <v>0</v>
      </c>
    </row>
    <row r="1797" spans="1:12" ht="15">
      <c r="A1797" s="114" t="s">
        <v>1764</v>
      </c>
      <c r="B1797" s="114" t="s">
        <v>2042</v>
      </c>
      <c r="C1797" s="114">
        <v>2</v>
      </c>
      <c r="D1797" s="116">
        <v>0.004740629852976082</v>
      </c>
      <c r="E1797" s="116">
        <v>1.8468670627531036</v>
      </c>
      <c r="F1797" s="114" t="s">
        <v>1716</v>
      </c>
      <c r="G1797" s="114" t="b">
        <v>0</v>
      </c>
      <c r="H1797" s="114" t="b">
        <v>0</v>
      </c>
      <c r="I1797" s="114" t="b">
        <v>0</v>
      </c>
      <c r="J1797" s="114" t="b">
        <v>0</v>
      </c>
      <c r="K1797" s="114" t="b">
        <v>0</v>
      </c>
      <c r="L1797" s="114" t="b">
        <v>0</v>
      </c>
    </row>
    <row r="1798" spans="1:12" ht="15">
      <c r="A1798" s="114" t="s">
        <v>2042</v>
      </c>
      <c r="B1798" s="114" t="s">
        <v>1764</v>
      </c>
      <c r="C1798" s="114">
        <v>2</v>
      </c>
      <c r="D1798" s="116">
        <v>0.004740629852976082</v>
      </c>
      <c r="E1798" s="116">
        <v>1.8468670627531036</v>
      </c>
      <c r="F1798" s="114" t="s">
        <v>1716</v>
      </c>
      <c r="G1798" s="114" t="b">
        <v>0</v>
      </c>
      <c r="H1798" s="114" t="b">
        <v>0</v>
      </c>
      <c r="I1798" s="114" t="b">
        <v>0</v>
      </c>
      <c r="J1798" s="114" t="b">
        <v>0</v>
      </c>
      <c r="K1798" s="114" t="b">
        <v>0</v>
      </c>
      <c r="L1798" s="114" t="b">
        <v>0</v>
      </c>
    </row>
    <row r="1799" spans="1:12" ht="15">
      <c r="A1799" s="114" t="s">
        <v>1745</v>
      </c>
      <c r="B1799" s="114" t="s">
        <v>2441</v>
      </c>
      <c r="C1799" s="114">
        <v>2</v>
      </c>
      <c r="D1799" s="116">
        <v>0.004740629852976082</v>
      </c>
      <c r="E1799" s="116">
        <v>0.9516024132731165</v>
      </c>
      <c r="F1799" s="114" t="s">
        <v>1716</v>
      </c>
      <c r="G1799" s="114" t="b">
        <v>0</v>
      </c>
      <c r="H1799" s="114" t="b">
        <v>0</v>
      </c>
      <c r="I1799" s="114" t="b">
        <v>0</v>
      </c>
      <c r="J1799" s="114" t="b">
        <v>0</v>
      </c>
      <c r="K1799" s="114" t="b">
        <v>0</v>
      </c>
      <c r="L1799" s="114" t="b">
        <v>0</v>
      </c>
    </row>
    <row r="1800" spans="1:12" ht="15">
      <c r="A1800" s="114" t="s">
        <v>1801</v>
      </c>
      <c r="B1800" s="114" t="s">
        <v>1761</v>
      </c>
      <c r="C1800" s="114">
        <v>2</v>
      </c>
      <c r="D1800" s="116">
        <v>0.003555472389732061</v>
      </c>
      <c r="E1800" s="116">
        <v>0.8169038393756604</v>
      </c>
      <c r="F1800" s="114" t="s">
        <v>1716</v>
      </c>
      <c r="G1800" s="114" t="b">
        <v>0</v>
      </c>
      <c r="H1800" s="114" t="b">
        <v>0</v>
      </c>
      <c r="I1800" s="114" t="b">
        <v>0</v>
      </c>
      <c r="J1800" s="114" t="b">
        <v>0</v>
      </c>
      <c r="K1800" s="114" t="b">
        <v>0</v>
      </c>
      <c r="L1800" s="114" t="b">
        <v>0</v>
      </c>
    </row>
    <row r="1801" spans="1:12" ht="15">
      <c r="A1801" s="114" t="s">
        <v>1745</v>
      </c>
      <c r="B1801" s="114" t="s">
        <v>1740</v>
      </c>
      <c r="C1801" s="114">
        <v>2</v>
      </c>
      <c r="D1801" s="116">
        <v>0.004740629852976082</v>
      </c>
      <c r="E1801" s="116">
        <v>-0.3036700918301895</v>
      </c>
      <c r="F1801" s="114" t="s">
        <v>1716</v>
      </c>
      <c r="G1801" s="114" t="b">
        <v>0</v>
      </c>
      <c r="H1801" s="114" t="b">
        <v>0</v>
      </c>
      <c r="I1801" s="114" t="b">
        <v>0</v>
      </c>
      <c r="J1801" s="114" t="b">
        <v>0</v>
      </c>
      <c r="K1801" s="114" t="b">
        <v>0</v>
      </c>
      <c r="L1801" s="114" t="b">
        <v>0</v>
      </c>
    </row>
    <row r="1802" spans="1:12" ht="15">
      <c r="A1802" s="114" t="s">
        <v>1745</v>
      </c>
      <c r="B1802" s="114" t="s">
        <v>1950</v>
      </c>
      <c r="C1802" s="114">
        <v>2</v>
      </c>
      <c r="D1802" s="116">
        <v>0.004740629852976082</v>
      </c>
      <c r="E1802" s="116">
        <v>0.4744811585534541</v>
      </c>
      <c r="F1802" s="114" t="s">
        <v>1716</v>
      </c>
      <c r="G1802" s="114" t="b">
        <v>0</v>
      </c>
      <c r="H1802" s="114" t="b">
        <v>0</v>
      </c>
      <c r="I1802" s="114" t="b">
        <v>0</v>
      </c>
      <c r="J1802" s="114" t="b">
        <v>0</v>
      </c>
      <c r="K1802" s="114" t="b">
        <v>0</v>
      </c>
      <c r="L1802" s="114" t="b">
        <v>0</v>
      </c>
    </row>
    <row r="1803" spans="1:12" ht="15">
      <c r="A1803" s="114" t="s">
        <v>2228</v>
      </c>
      <c r="B1803" s="114" t="s">
        <v>1950</v>
      </c>
      <c r="C1803" s="114">
        <v>2</v>
      </c>
      <c r="D1803" s="116">
        <v>0.004740629852976082</v>
      </c>
      <c r="E1803" s="116">
        <v>1.7377225933280356</v>
      </c>
      <c r="F1803" s="114" t="s">
        <v>1716</v>
      </c>
      <c r="G1803" s="114" t="b">
        <v>0</v>
      </c>
      <c r="H1803" s="114" t="b">
        <v>0</v>
      </c>
      <c r="I1803" s="114" t="b">
        <v>0</v>
      </c>
      <c r="J1803" s="114" t="b">
        <v>0</v>
      </c>
      <c r="K1803" s="114" t="b">
        <v>0</v>
      </c>
      <c r="L1803" s="114" t="b">
        <v>0</v>
      </c>
    </row>
    <row r="1804" spans="1:12" ht="15">
      <c r="A1804" s="114" t="s">
        <v>2438</v>
      </c>
      <c r="B1804" s="114" t="s">
        <v>2094</v>
      </c>
      <c r="C1804" s="114">
        <v>2</v>
      </c>
      <c r="D1804" s="116">
        <v>0.004740629852976082</v>
      </c>
      <c r="E1804" s="116">
        <v>2.214843848047698</v>
      </c>
      <c r="F1804" s="114" t="s">
        <v>1716</v>
      </c>
      <c r="G1804" s="114" t="b">
        <v>0</v>
      </c>
      <c r="H1804" s="114" t="b">
        <v>0</v>
      </c>
      <c r="I1804" s="114" t="b">
        <v>0</v>
      </c>
      <c r="J1804" s="114" t="b">
        <v>0</v>
      </c>
      <c r="K1804" s="114" t="b">
        <v>0</v>
      </c>
      <c r="L1804" s="114" t="b">
        <v>0</v>
      </c>
    </row>
    <row r="1805" spans="1:12" ht="15">
      <c r="A1805" s="114" t="s">
        <v>2227</v>
      </c>
      <c r="B1805" s="114" t="s">
        <v>1770</v>
      </c>
      <c r="C1805" s="114">
        <v>2</v>
      </c>
      <c r="D1805" s="116">
        <v>0.004740629852976082</v>
      </c>
      <c r="E1805" s="116">
        <v>1.9138138523837167</v>
      </c>
      <c r="F1805" s="114" t="s">
        <v>1716</v>
      </c>
      <c r="G1805" s="114" t="b">
        <v>0</v>
      </c>
      <c r="H1805" s="114" t="b">
        <v>0</v>
      </c>
      <c r="I1805" s="114" t="b">
        <v>0</v>
      </c>
      <c r="J1805" s="114" t="b">
        <v>0</v>
      </c>
      <c r="K1805" s="114" t="b">
        <v>0</v>
      </c>
      <c r="L1805" s="114" t="b">
        <v>0</v>
      </c>
    </row>
    <row r="1806" spans="1:12" ht="15">
      <c r="A1806" s="114" t="s">
        <v>1944</v>
      </c>
      <c r="B1806" s="114" t="s">
        <v>1879</v>
      </c>
      <c r="C1806" s="114">
        <v>2</v>
      </c>
      <c r="D1806" s="116">
        <v>0.003555472389732061</v>
      </c>
      <c r="E1806" s="116">
        <v>1.9138138523837167</v>
      </c>
      <c r="F1806" s="114" t="s">
        <v>1716</v>
      </c>
      <c r="G1806" s="114" t="b">
        <v>0</v>
      </c>
      <c r="H1806" s="114" t="b">
        <v>0</v>
      </c>
      <c r="I1806" s="114" t="b">
        <v>0</v>
      </c>
      <c r="J1806" s="114" t="b">
        <v>0</v>
      </c>
      <c r="K1806" s="114" t="b">
        <v>0</v>
      </c>
      <c r="L1806" s="114" t="b">
        <v>0</v>
      </c>
    </row>
    <row r="1807" spans="1:12" ht="15">
      <c r="A1807" s="114" t="s">
        <v>1879</v>
      </c>
      <c r="B1807" s="114" t="s">
        <v>1881</v>
      </c>
      <c r="C1807" s="114">
        <v>2</v>
      </c>
      <c r="D1807" s="116">
        <v>0.003555472389732061</v>
      </c>
      <c r="E1807" s="116">
        <v>2.214843848047698</v>
      </c>
      <c r="F1807" s="114" t="s">
        <v>1716</v>
      </c>
      <c r="G1807" s="114" t="b">
        <v>0</v>
      </c>
      <c r="H1807" s="114" t="b">
        <v>0</v>
      </c>
      <c r="I1807" s="114" t="b">
        <v>0</v>
      </c>
      <c r="J1807" s="114" t="b">
        <v>0</v>
      </c>
      <c r="K1807" s="114" t="b">
        <v>0</v>
      </c>
      <c r="L1807" s="114" t="b">
        <v>0</v>
      </c>
    </row>
    <row r="1808" spans="1:12" ht="15">
      <c r="A1808" s="114" t="s">
        <v>1739</v>
      </c>
      <c r="B1808" s="114" t="s">
        <v>1741</v>
      </c>
      <c r="C1808" s="114">
        <v>2</v>
      </c>
      <c r="D1808" s="116">
        <v>0.003555472389732061</v>
      </c>
      <c r="E1808" s="116">
        <v>1.9138138523837167</v>
      </c>
      <c r="F1808" s="114" t="s">
        <v>1716</v>
      </c>
      <c r="G1808" s="114" t="b">
        <v>0</v>
      </c>
      <c r="H1808" s="114" t="b">
        <v>0</v>
      </c>
      <c r="I1808" s="114" t="b">
        <v>0</v>
      </c>
      <c r="J1808" s="114" t="b">
        <v>0</v>
      </c>
      <c r="K1808" s="114" t="b">
        <v>0</v>
      </c>
      <c r="L1808" s="114" t="b">
        <v>0</v>
      </c>
    </row>
    <row r="1809" spans="1:12" ht="15">
      <c r="A1809" s="114" t="s">
        <v>1775</v>
      </c>
      <c r="B1809" s="114" t="s">
        <v>1812</v>
      </c>
      <c r="C1809" s="114">
        <v>2</v>
      </c>
      <c r="D1809" s="116">
        <v>0.003555472389732061</v>
      </c>
      <c r="E1809" s="116">
        <v>0.9138138523837167</v>
      </c>
      <c r="F1809" s="114" t="s">
        <v>1716</v>
      </c>
      <c r="G1809" s="114" t="b">
        <v>0</v>
      </c>
      <c r="H1809" s="114" t="b">
        <v>0</v>
      </c>
      <c r="I1809" s="114" t="b">
        <v>0</v>
      </c>
      <c r="J1809" s="114" t="b">
        <v>0</v>
      </c>
      <c r="K1809" s="114" t="b">
        <v>0</v>
      </c>
      <c r="L1809" s="114" t="b">
        <v>0</v>
      </c>
    </row>
    <row r="1810" spans="1:12" ht="15">
      <c r="A1810" s="114" t="s">
        <v>1745</v>
      </c>
      <c r="B1810" s="114" t="s">
        <v>2435</v>
      </c>
      <c r="C1810" s="114">
        <v>2</v>
      </c>
      <c r="D1810" s="116">
        <v>0.004740629852976082</v>
      </c>
      <c r="E1810" s="116">
        <v>0.9516024132731165</v>
      </c>
      <c r="F1810" s="114" t="s">
        <v>1716</v>
      </c>
      <c r="G1810" s="114" t="b">
        <v>0</v>
      </c>
      <c r="H1810" s="114" t="b">
        <v>0</v>
      </c>
      <c r="I1810" s="114" t="b">
        <v>0</v>
      </c>
      <c r="J1810" s="114" t="b">
        <v>0</v>
      </c>
      <c r="K1810" s="114" t="b">
        <v>0</v>
      </c>
      <c r="L1810" s="114" t="b">
        <v>0</v>
      </c>
    </row>
    <row r="1811" spans="1:12" ht="15">
      <c r="A1811" s="114" t="s">
        <v>2431</v>
      </c>
      <c r="B1811" s="114" t="s">
        <v>1888</v>
      </c>
      <c r="C1811" s="114">
        <v>2</v>
      </c>
      <c r="D1811" s="116">
        <v>0.004740629852976082</v>
      </c>
      <c r="E1811" s="116">
        <v>2.3909351071033793</v>
      </c>
      <c r="F1811" s="114" t="s">
        <v>1716</v>
      </c>
      <c r="G1811" s="114" t="b">
        <v>0</v>
      </c>
      <c r="H1811" s="114" t="b">
        <v>0</v>
      </c>
      <c r="I1811" s="114" t="b">
        <v>0</v>
      </c>
      <c r="J1811" s="114" t="b">
        <v>0</v>
      </c>
      <c r="K1811" s="114" t="b">
        <v>0</v>
      </c>
      <c r="L1811" s="114" t="b">
        <v>0</v>
      </c>
    </row>
    <row r="1812" spans="1:12" ht="15">
      <c r="A1812" s="114" t="s">
        <v>1975</v>
      </c>
      <c r="B1812" s="114" t="s">
        <v>2433</v>
      </c>
      <c r="C1812" s="114">
        <v>2</v>
      </c>
      <c r="D1812" s="116">
        <v>0.004740629852976082</v>
      </c>
      <c r="E1812" s="116">
        <v>1.9138138523837167</v>
      </c>
      <c r="F1812" s="114" t="s">
        <v>1716</v>
      </c>
      <c r="G1812" s="114" t="b">
        <v>0</v>
      </c>
      <c r="H1812" s="114" t="b">
        <v>0</v>
      </c>
      <c r="I1812" s="114" t="b">
        <v>0</v>
      </c>
      <c r="J1812" s="114" t="b">
        <v>0</v>
      </c>
      <c r="K1812" s="114" t="b">
        <v>0</v>
      </c>
      <c r="L1812" s="114" t="b">
        <v>0</v>
      </c>
    </row>
    <row r="1813" spans="1:12" ht="15">
      <c r="A1813" s="114" t="s">
        <v>1880</v>
      </c>
      <c r="B1813" s="114" t="s">
        <v>1765</v>
      </c>
      <c r="C1813" s="114">
        <v>2</v>
      </c>
      <c r="D1813" s="116">
        <v>0.004740629852976082</v>
      </c>
      <c r="E1813" s="116">
        <v>2.089905111439398</v>
      </c>
      <c r="F1813" s="114" t="s">
        <v>1716</v>
      </c>
      <c r="G1813" s="114" t="b">
        <v>0</v>
      </c>
      <c r="H1813" s="114" t="b">
        <v>0</v>
      </c>
      <c r="I1813" s="114" t="b">
        <v>0</v>
      </c>
      <c r="J1813" s="114" t="b">
        <v>0</v>
      </c>
      <c r="K1813" s="114" t="b">
        <v>0</v>
      </c>
      <c r="L1813" s="114" t="b">
        <v>0</v>
      </c>
    </row>
    <row r="1814" spans="1:12" ht="15">
      <c r="A1814" s="114" t="s">
        <v>1745</v>
      </c>
      <c r="B1814" s="114" t="s">
        <v>1755</v>
      </c>
      <c r="C1814" s="114">
        <v>2</v>
      </c>
      <c r="D1814" s="116">
        <v>0.003555472389732061</v>
      </c>
      <c r="E1814" s="116">
        <v>0.2983898994977729</v>
      </c>
      <c r="F1814" s="114" t="s">
        <v>1716</v>
      </c>
      <c r="G1814" s="114" t="b">
        <v>0</v>
      </c>
      <c r="H1814" s="114" t="b">
        <v>0</v>
      </c>
      <c r="I1814" s="114" t="b">
        <v>0</v>
      </c>
      <c r="J1814" s="114" t="b">
        <v>0</v>
      </c>
      <c r="K1814" s="114" t="b">
        <v>0</v>
      </c>
      <c r="L1814" s="114" t="b">
        <v>0</v>
      </c>
    </row>
    <row r="1815" spans="1:12" ht="15">
      <c r="A1815" s="114" t="s">
        <v>2223</v>
      </c>
      <c r="B1815" s="114" t="s">
        <v>1745</v>
      </c>
      <c r="C1815" s="114">
        <v>2</v>
      </c>
      <c r="D1815" s="116">
        <v>0.004740629852976082</v>
      </c>
      <c r="E1815" s="116">
        <v>0.9516024132731165</v>
      </c>
      <c r="F1815" s="114" t="s">
        <v>1716</v>
      </c>
      <c r="G1815" s="114" t="b">
        <v>0</v>
      </c>
      <c r="H1815" s="114" t="b">
        <v>0</v>
      </c>
      <c r="I1815" s="114" t="b">
        <v>0</v>
      </c>
      <c r="J1815" s="114" t="b">
        <v>0</v>
      </c>
      <c r="K1815" s="114" t="b">
        <v>0</v>
      </c>
      <c r="L1815" s="114" t="b">
        <v>0</v>
      </c>
    </row>
    <row r="1816" spans="1:12" ht="15">
      <c r="A1816" s="114" t="s">
        <v>1745</v>
      </c>
      <c r="B1816" s="114" t="s">
        <v>2430</v>
      </c>
      <c r="C1816" s="114">
        <v>2</v>
      </c>
      <c r="D1816" s="116">
        <v>0.004740629852976082</v>
      </c>
      <c r="E1816" s="116">
        <v>0.9516024132731165</v>
      </c>
      <c r="F1816" s="114" t="s">
        <v>1716</v>
      </c>
      <c r="G1816" s="114" t="b">
        <v>0</v>
      </c>
      <c r="H1816" s="114" t="b">
        <v>0</v>
      </c>
      <c r="I1816" s="114" t="b">
        <v>0</v>
      </c>
      <c r="J1816" s="114" t="b">
        <v>0</v>
      </c>
      <c r="K1816" s="114" t="b">
        <v>0</v>
      </c>
      <c r="L1816" s="114" t="b">
        <v>0</v>
      </c>
    </row>
    <row r="1817" spans="1:12" ht="15">
      <c r="A1817" s="114" t="s">
        <v>1830</v>
      </c>
      <c r="B1817" s="114" t="s">
        <v>2425</v>
      </c>
      <c r="C1817" s="114">
        <v>2</v>
      </c>
      <c r="D1817" s="116">
        <v>0.003555472389732061</v>
      </c>
      <c r="E1817" s="116">
        <v>1.7888751157754168</v>
      </c>
      <c r="F1817" s="114" t="s">
        <v>1716</v>
      </c>
      <c r="G1817" s="114" t="b">
        <v>0</v>
      </c>
      <c r="H1817" s="114" t="b">
        <v>0</v>
      </c>
      <c r="I1817" s="114" t="b">
        <v>0</v>
      </c>
      <c r="J1817" s="114" t="b">
        <v>0</v>
      </c>
      <c r="K1817" s="114" t="b">
        <v>0</v>
      </c>
      <c r="L1817" s="114" t="b">
        <v>0</v>
      </c>
    </row>
    <row r="1818" spans="1:12" ht="15">
      <c r="A1818" s="114" t="s">
        <v>2425</v>
      </c>
      <c r="B1818" s="114" t="s">
        <v>2426</v>
      </c>
      <c r="C1818" s="114">
        <v>2</v>
      </c>
      <c r="D1818" s="116">
        <v>0.003555472389732061</v>
      </c>
      <c r="E1818" s="116">
        <v>2.3909351071033793</v>
      </c>
      <c r="F1818" s="114" t="s">
        <v>1716</v>
      </c>
      <c r="G1818" s="114" t="b">
        <v>0</v>
      </c>
      <c r="H1818" s="114" t="b">
        <v>0</v>
      </c>
      <c r="I1818" s="114" t="b">
        <v>0</v>
      </c>
      <c r="J1818" s="114" t="b">
        <v>0</v>
      </c>
      <c r="K1818" s="114" t="b">
        <v>0</v>
      </c>
      <c r="L1818" s="114" t="b">
        <v>0</v>
      </c>
    </row>
    <row r="1819" spans="1:12" ht="15">
      <c r="A1819" s="114" t="s">
        <v>2426</v>
      </c>
      <c r="B1819" s="114" t="s">
        <v>2427</v>
      </c>
      <c r="C1819" s="114">
        <v>2</v>
      </c>
      <c r="D1819" s="116">
        <v>0.003555472389732061</v>
      </c>
      <c r="E1819" s="116">
        <v>2.3909351071033793</v>
      </c>
      <c r="F1819" s="114" t="s">
        <v>1716</v>
      </c>
      <c r="G1819" s="114" t="b">
        <v>0</v>
      </c>
      <c r="H1819" s="114" t="b">
        <v>0</v>
      </c>
      <c r="I1819" s="114" t="b">
        <v>0</v>
      </c>
      <c r="J1819" s="114" t="b">
        <v>0</v>
      </c>
      <c r="K1819" s="114" t="b">
        <v>0</v>
      </c>
      <c r="L1819" s="114" t="b">
        <v>0</v>
      </c>
    </row>
    <row r="1820" spans="1:12" ht="15">
      <c r="A1820" s="114" t="s">
        <v>1747</v>
      </c>
      <c r="B1820" s="114" t="s">
        <v>1755</v>
      </c>
      <c r="C1820" s="114">
        <v>2</v>
      </c>
      <c r="D1820" s="116">
        <v>0.003555472389732061</v>
      </c>
      <c r="E1820" s="116">
        <v>1.7377225933280356</v>
      </c>
      <c r="F1820" s="114" t="s">
        <v>1716</v>
      </c>
      <c r="G1820" s="114" t="b">
        <v>0</v>
      </c>
      <c r="H1820" s="114" t="b">
        <v>0</v>
      </c>
      <c r="I1820" s="114" t="b">
        <v>0</v>
      </c>
      <c r="J1820" s="114" t="b">
        <v>0</v>
      </c>
      <c r="K1820" s="114" t="b">
        <v>0</v>
      </c>
      <c r="L1820" s="114" t="b">
        <v>0</v>
      </c>
    </row>
    <row r="1821" spans="1:12" ht="15">
      <c r="A1821" s="114" t="s">
        <v>1745</v>
      </c>
      <c r="B1821" s="114" t="s">
        <v>1739</v>
      </c>
      <c r="C1821" s="114">
        <v>2</v>
      </c>
      <c r="D1821" s="116">
        <v>0.003555472389732061</v>
      </c>
      <c r="E1821" s="116">
        <v>0.6505724176091353</v>
      </c>
      <c r="F1821" s="114" t="s">
        <v>1716</v>
      </c>
      <c r="G1821" s="114" t="b">
        <v>0</v>
      </c>
      <c r="H1821" s="114" t="b">
        <v>0</v>
      </c>
      <c r="I1821" s="114" t="b">
        <v>0</v>
      </c>
      <c r="J1821" s="114" t="b">
        <v>0</v>
      </c>
      <c r="K1821" s="114" t="b">
        <v>0</v>
      </c>
      <c r="L1821" s="114" t="b">
        <v>0</v>
      </c>
    </row>
    <row r="1822" spans="1:12" ht="15">
      <c r="A1822" s="114" t="s">
        <v>1926</v>
      </c>
      <c r="B1822" s="114" t="s">
        <v>1827</v>
      </c>
      <c r="C1822" s="114">
        <v>2</v>
      </c>
      <c r="D1822" s="116">
        <v>0.004740629852976082</v>
      </c>
      <c r="E1822" s="116">
        <v>1.9138138523837167</v>
      </c>
      <c r="F1822" s="114" t="s">
        <v>1716</v>
      </c>
      <c r="G1822" s="114" t="b">
        <v>0</v>
      </c>
      <c r="H1822" s="114" t="b">
        <v>0</v>
      </c>
      <c r="I1822" s="114" t="b">
        <v>0</v>
      </c>
      <c r="J1822" s="114" t="b">
        <v>0</v>
      </c>
      <c r="K1822" s="114" t="b">
        <v>0</v>
      </c>
      <c r="L1822" s="114" t="b">
        <v>0</v>
      </c>
    </row>
    <row r="1823" spans="1:12" ht="15">
      <c r="A1823" s="114" t="s">
        <v>1774</v>
      </c>
      <c r="B1823" s="114" t="s">
        <v>1774</v>
      </c>
      <c r="C1823" s="114">
        <v>2</v>
      </c>
      <c r="D1823" s="116">
        <v>0.004740629852976082</v>
      </c>
      <c r="E1823" s="116">
        <v>1.7888751157754168</v>
      </c>
      <c r="F1823" s="114" t="s">
        <v>1716</v>
      </c>
      <c r="G1823" s="114" t="b">
        <v>0</v>
      </c>
      <c r="H1823" s="114" t="b">
        <v>1</v>
      </c>
      <c r="I1823" s="114" t="b">
        <v>0</v>
      </c>
      <c r="J1823" s="114" t="b">
        <v>0</v>
      </c>
      <c r="K1823" s="114" t="b">
        <v>1</v>
      </c>
      <c r="L1823" s="11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B9BAF28-7BE4-4B4E-9797-C09F1D85D9A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Digital Space Lab</cp:lastModifiedBy>
  <dcterms:created xsi:type="dcterms:W3CDTF">2008-01-30T00:41:58Z</dcterms:created>
  <dcterms:modified xsi:type="dcterms:W3CDTF">2020-06-26T10:41:53Z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